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C:\Users\jz\Desktop\IMKO\20_Technischer Support\Toolbox\"/>
    </mc:Choice>
  </mc:AlternateContent>
  <xr:revisionPtr revIDLastSave="0" documentId="13_ncr:1_{5E9E8917-142B-43C3-B799-3C5F8A7A1659}" xr6:coauthVersionLast="47" xr6:coauthVersionMax="47" xr10:uidLastSave="{00000000-0000-0000-0000-000000000000}"/>
  <bookViews>
    <workbookView xWindow="-108" yWindow="-108" windowWidth="30936" windowHeight="16776" xr2:uid="{B0EBA432-DBA5-4DC2-996D-533FB8A8B293}"/>
  </bookViews>
  <sheets>
    <sheet name="Content" sheetId="7" r:id="rId1"/>
    <sheet name="Conversion" sheetId="3" r:id="rId2"/>
    <sheet name="Calibration" sheetId="1" r:id="rId3"/>
    <sheet name="Soil Density Correction" sheetId="12" r:id="rId4"/>
    <sheet name="Tools" sheetId="2" state="hidden" r:id="rId5"/>
  </sheets>
  <definedNames>
    <definedName name="Calibration_x">INDEX(_xlfn.ANCHORARRAY(Tools!$F$5), , 1)</definedName>
    <definedName name="Calibration_y">INDEX(_xlfn.ANCHORARRAY(Tools!$F$5), , 2)</definedName>
    <definedName name="Newton">_xlfn.LAMBDA(_xlpm.y,_xlpm.x0,_xlfn.LET(_xlpm.f,_xlfn.LAMBDA(_xlpm.x,#REF!+#REF!*_xlpm.x+#REF!*_xlpm.x^2+#REF!*_xlpm.x^3+#REF!*_xlpm.x^4 +#REF!*_xlpm.x^5-_xlpm.y),_xlpm.df,_xlfn.LAMBDA(_xlpm.x,#REF!+2*#REF!*_xlpm.x+3*#REF!*_xlpm.x^2+4*#REF!*_xlpm.x^3+5*#REF!*_xlpm.x^4),_xlpm.iter,_xlfn.SCAN(_xlpm.x0,_xlfn.SEQUENCE(1000),_xlfn.LAMBDA(_xlpm.x,_xlpm._,_xlfn.LET(_xlpm.xn,_xlpm.x-_xlpm.f(_xlpm.x)/_xlpm.df(_xlpm.x),IF(ABS(_xlpm.xn-_xlpm.x)&lt;0.0000000000001,_xlpm.x,_xlpm.xn)))),INDEX(_xlpm.iter,ROWS(_xlpm.iter))))</definedName>
    <definedName name="NewtonX">_xlfn.LAMBDA(_xlpm.y,_xlpm.x0,_xlfn.LET(_xlpm.f, _xlfn.LAMBDA(_xlpm.x,#REF!+#REF!*_xlpm.x+#REF!*_xlpm.x^2+#REF!*_xlpm.x^3+#REF!*_xlpm.x^4 +#REF!*_xlpm.x^5-_xlpm.y),_xlpm.df,_xlfn.LAMBDA(_xlpm.x,#REF!+2*#REF!*_xlpm.x+3*#REF!*_xlpm.x^2+4*#REF!*_xlpm.x^3+5*#REF!*_xlpm.x^4),_xlfn.REDUCE(_xlpm.x0,_xlfn.SEQUENCE(5000),_xlfn.LAMBDA(_xlpm.x,_xlpm._,_xlpm.x-_xlpm.f(_xlpm.x)/_xlpm.df(_xlpm.x)))))</definedName>
    <definedName name="PICO_64">#REF!</definedName>
    <definedName name="Regression_x">INDEX(_xlfn.ANCHORARRAY(Tools!#REF!), , 1)</definedName>
    <definedName name="Regression_y">INDEX(_xlfn.ANCHORARRAY(Tools!#REF!), , 2)</definedName>
    <definedName name="SONO_VARI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12" l="1"/>
  <c r="I8" i="12" s="1"/>
  <c r="H63" i="2"/>
  <c r="G63" i="2"/>
  <c r="G80" i="2" s="1"/>
  <c r="F63" i="2"/>
  <c r="F75" i="2" s="1"/>
  <c r="H66" i="2"/>
  <c r="F67" i="2"/>
  <c r="H67" i="2"/>
  <c r="F68" i="2"/>
  <c r="H68" i="2"/>
  <c r="F69" i="2"/>
  <c r="H69" i="2"/>
  <c r="F70" i="2"/>
  <c r="H70" i="2"/>
  <c r="F71" i="2"/>
  <c r="H71" i="2"/>
  <c r="F72" i="2"/>
  <c r="H72" i="2"/>
  <c r="F73" i="2"/>
  <c r="H73" i="2"/>
  <c r="F74" i="2"/>
  <c r="H74" i="2"/>
  <c r="H75" i="2"/>
  <c r="H76" i="2"/>
  <c r="H77" i="2"/>
  <c r="F78" i="2"/>
  <c r="H78" i="2"/>
  <c r="F79" i="2"/>
  <c r="H79" i="2"/>
  <c r="F80" i="2"/>
  <c r="H80" i="2"/>
  <c r="F81" i="2"/>
  <c r="H81" i="2"/>
  <c r="F82" i="2"/>
  <c r="H82" i="2"/>
  <c r="F83" i="2"/>
  <c r="H83" i="2"/>
  <c r="F84" i="2"/>
  <c r="H84" i="2"/>
  <c r="F85" i="2"/>
  <c r="H85" i="2"/>
  <c r="H65" i="2"/>
  <c r="B66" i="2"/>
  <c r="C66" i="2"/>
  <c r="D66" i="2"/>
  <c r="B67" i="2"/>
  <c r="C67" i="2"/>
  <c r="D67" i="2"/>
  <c r="B68" i="2"/>
  <c r="C68" i="2"/>
  <c r="D68" i="2"/>
  <c r="B69" i="2"/>
  <c r="C69" i="2"/>
  <c r="D69" i="2"/>
  <c r="B70" i="2"/>
  <c r="C70" i="2"/>
  <c r="D70" i="2"/>
  <c r="B71" i="2"/>
  <c r="C71" i="2"/>
  <c r="D71" i="2"/>
  <c r="B72" i="2"/>
  <c r="C72" i="2"/>
  <c r="D72" i="2"/>
  <c r="B73" i="2"/>
  <c r="C73" i="2"/>
  <c r="D73" i="2"/>
  <c r="B74" i="2"/>
  <c r="C74" i="2"/>
  <c r="D74" i="2"/>
  <c r="B75" i="2"/>
  <c r="C75" i="2"/>
  <c r="D75" i="2"/>
  <c r="B76" i="2"/>
  <c r="C76" i="2"/>
  <c r="D76" i="2"/>
  <c r="B77" i="2"/>
  <c r="C77" i="2"/>
  <c r="D77" i="2"/>
  <c r="B78" i="2"/>
  <c r="C78" i="2"/>
  <c r="D78" i="2"/>
  <c r="B79" i="2"/>
  <c r="C79" i="2"/>
  <c r="D79" i="2"/>
  <c r="B80" i="2"/>
  <c r="C80" i="2"/>
  <c r="D80" i="2"/>
  <c r="B81" i="2"/>
  <c r="C81" i="2"/>
  <c r="D81" i="2"/>
  <c r="B82" i="2"/>
  <c r="C82" i="2"/>
  <c r="D82" i="2"/>
  <c r="B83" i="2"/>
  <c r="C83" i="2"/>
  <c r="D83" i="2"/>
  <c r="B84" i="2"/>
  <c r="C84" i="2"/>
  <c r="D84" i="2"/>
  <c r="B85" i="2"/>
  <c r="C85" i="2"/>
  <c r="D85" i="2"/>
  <c r="C65" i="2"/>
  <c r="D65" i="2"/>
  <c r="B65" i="2"/>
  <c r="U10" i="2"/>
  <c r="V10" i="2" s="1"/>
  <c r="U11" i="2"/>
  <c r="V11" i="2" s="1"/>
  <c r="U12" i="2"/>
  <c r="V12" i="2" s="1"/>
  <c r="U13" i="2"/>
  <c r="V13" i="2" s="1"/>
  <c r="U14" i="2"/>
  <c r="V14" i="2" s="1"/>
  <c r="U15" i="2"/>
  <c r="V15" i="2" s="1"/>
  <c r="U16" i="2"/>
  <c r="V16" i="2" s="1"/>
  <c r="U17" i="2"/>
  <c r="V17" i="2" s="1"/>
  <c r="U18" i="2"/>
  <c r="V18" i="2" s="1"/>
  <c r="U19" i="2"/>
  <c r="V19" i="2" s="1"/>
  <c r="U20" i="2"/>
  <c r="V20" i="2" s="1"/>
  <c r="R10" i="2"/>
  <c r="S10" i="2" s="1"/>
  <c r="R11" i="2"/>
  <c r="S11" i="2" s="1"/>
  <c r="R12" i="2"/>
  <c r="S12" i="2" s="1"/>
  <c r="R13" i="2"/>
  <c r="S13" i="2" s="1"/>
  <c r="R14" i="2"/>
  <c r="S14" i="2" s="1"/>
  <c r="R15" i="2"/>
  <c r="S15" i="2" s="1"/>
  <c r="R16" i="2"/>
  <c r="S16" i="2" s="1"/>
  <c r="R17" i="2"/>
  <c r="S17" i="2" s="1"/>
  <c r="R18" i="2"/>
  <c r="S18" i="2" s="1"/>
  <c r="R19" i="2"/>
  <c r="S19" i="2" s="1"/>
  <c r="R20" i="2"/>
  <c r="S20" i="2" s="1"/>
  <c r="O10" i="2"/>
  <c r="P10" i="2" s="1"/>
  <c r="O11" i="2"/>
  <c r="P11" i="2" s="1"/>
  <c r="O12" i="2"/>
  <c r="P12" i="2" s="1"/>
  <c r="O13" i="2"/>
  <c r="P13" i="2" s="1"/>
  <c r="O14" i="2"/>
  <c r="P14" i="2" s="1"/>
  <c r="O15" i="2"/>
  <c r="P15" i="2" s="1"/>
  <c r="O16" i="2"/>
  <c r="P16" i="2" s="1"/>
  <c r="O17" i="2"/>
  <c r="P17" i="2" s="1"/>
  <c r="O18" i="2"/>
  <c r="P18" i="2" s="1"/>
  <c r="O19" i="2"/>
  <c r="P19" i="2" s="1"/>
  <c r="O20" i="2"/>
  <c r="P20" i="2" s="1"/>
  <c r="D5" i="2"/>
  <c r="E12" i="3"/>
  <c r="E13" i="3" s="1"/>
  <c r="C6" i="2"/>
  <c r="C7" i="2"/>
  <c r="C8" i="2"/>
  <c r="C9" i="2"/>
  <c r="C10" i="2"/>
  <c r="C11" i="2"/>
  <c r="C12" i="2"/>
  <c r="C13" i="2"/>
  <c r="C14" i="2"/>
  <c r="E14" i="2" s="1"/>
  <c r="C15" i="2"/>
  <c r="E15" i="2" s="1"/>
  <c r="C16" i="2"/>
  <c r="C17" i="2"/>
  <c r="E17" i="2" s="1"/>
  <c r="C18" i="2"/>
  <c r="C19" i="2"/>
  <c r="E19" i="2" s="1"/>
  <c r="C20" i="2"/>
  <c r="E20" i="2" s="1"/>
  <c r="D6" i="2"/>
  <c r="D7" i="2"/>
  <c r="D8" i="2"/>
  <c r="D9" i="2"/>
  <c r="D10" i="2"/>
  <c r="D11" i="2"/>
  <c r="D12" i="2"/>
  <c r="D13" i="2"/>
  <c r="D14" i="2"/>
  <c r="D15" i="2"/>
  <c r="D16" i="2"/>
  <c r="D17" i="2"/>
  <c r="D18" i="2"/>
  <c r="D19" i="2"/>
  <c r="D20" i="2"/>
  <c r="C5" i="2"/>
  <c r="C22" i="2"/>
  <c r="F77" i="2" l="1"/>
  <c r="F66" i="2"/>
  <c r="F65" i="2"/>
  <c r="F76" i="2"/>
  <c r="G72" i="2"/>
  <c r="G79" i="2"/>
  <c r="G65" i="2"/>
  <c r="G71" i="2"/>
  <c r="G78" i="2"/>
  <c r="G85" i="2"/>
  <c r="G70" i="2"/>
  <c r="G77" i="2"/>
  <c r="G84" i="2"/>
  <c r="G69" i="2"/>
  <c r="G76" i="2"/>
  <c r="G83" i="2"/>
  <c r="G68" i="2"/>
  <c r="G75" i="2"/>
  <c r="G82" i="2"/>
  <c r="G67" i="2"/>
  <c r="G74" i="2"/>
  <c r="G81" i="2"/>
  <c r="G66" i="2"/>
  <c r="G73" i="2"/>
  <c r="H28" i="2"/>
  <c r="H35" i="2"/>
  <c r="H27" i="2"/>
  <c r="H31" i="2"/>
  <c r="C26" i="2"/>
  <c r="H41" i="2"/>
  <c r="H40" i="2"/>
  <c r="H39" i="2"/>
  <c r="H38" i="2"/>
  <c r="H37" i="2"/>
  <c r="H36" i="2"/>
  <c r="H34" i="2"/>
  <c r="H33" i="2"/>
  <c r="H32" i="2"/>
  <c r="H30" i="2"/>
  <c r="H29" i="2"/>
  <c r="F26" i="2"/>
  <c r="D26" i="2"/>
  <c r="E26" i="2"/>
  <c r="G26" i="2"/>
  <c r="H26" i="2"/>
  <c r="F5" i="2" a="1"/>
  <c r="E13" i="2"/>
  <c r="E18" i="2"/>
  <c r="E12" i="2"/>
  <c r="E11" i="2"/>
  <c r="E16" i="2"/>
  <c r="E38" i="2"/>
  <c r="C34" i="2"/>
  <c r="G40" i="2"/>
  <c r="G37" i="2"/>
  <c r="G33" i="2"/>
  <c r="E31" i="2"/>
  <c r="G30" i="2"/>
  <c r="E27" i="2"/>
  <c r="C35" i="2"/>
  <c r="E34" i="2"/>
  <c r="D27" i="2"/>
  <c r="C28" i="2"/>
  <c r="C33" i="2"/>
  <c r="E40" i="2"/>
  <c r="F37" i="2"/>
  <c r="F33" i="2"/>
  <c r="D31" i="2"/>
  <c r="D34" i="2"/>
  <c r="D41" i="2"/>
  <c r="F31" i="2"/>
  <c r="D36" i="2"/>
  <c r="C31" i="2"/>
  <c r="G39" i="2"/>
  <c r="E37" i="2"/>
  <c r="E33" i="2"/>
  <c r="F30" i="2"/>
  <c r="F39" i="2"/>
  <c r="C29" i="2"/>
  <c r="D37" i="2"/>
  <c r="D33" i="2"/>
  <c r="G29" i="2"/>
  <c r="D40" i="2"/>
  <c r="D32" i="2"/>
  <c r="C41" i="2"/>
  <c r="G41" i="2"/>
  <c r="E39" i="2"/>
  <c r="G35" i="2"/>
  <c r="G32" i="2"/>
  <c r="F29" i="2"/>
  <c r="F41" i="2"/>
  <c r="C39" i="2"/>
  <c r="D39" i="2"/>
  <c r="F35" i="2"/>
  <c r="E32" i="2"/>
  <c r="E29" i="2"/>
  <c r="D38" i="2"/>
  <c r="C37" i="2"/>
  <c r="E41" i="2"/>
  <c r="G38" i="2"/>
  <c r="G34" i="2"/>
  <c r="G31" i="2"/>
  <c r="D29" i="2"/>
  <c r="E35" i="2"/>
  <c r="F28" i="2"/>
  <c r="C40" i="2"/>
  <c r="C32" i="2"/>
  <c r="D35" i="2"/>
  <c r="E28" i="2"/>
  <c r="G36" i="2"/>
  <c r="D28" i="2"/>
  <c r="C38" i="2"/>
  <c r="F40" i="2"/>
  <c r="F38" i="2"/>
  <c r="F36" i="2"/>
  <c r="F34" i="2"/>
  <c r="F32" i="2"/>
  <c r="G27" i="2"/>
  <c r="G28" i="2"/>
  <c r="E36" i="2"/>
  <c r="F27" i="2"/>
  <c r="C36" i="2"/>
  <c r="C27" i="2"/>
  <c r="E30" i="2"/>
  <c r="D30" i="2"/>
  <c r="C30" i="2"/>
  <c r="U9" i="2" l="1"/>
  <c r="V9" i="2" s="1"/>
  <c r="O9" i="2"/>
  <c r="P9" i="2" s="1"/>
  <c r="R9" i="2"/>
  <c r="S9" i="2" s="1"/>
  <c r="O8" i="2"/>
  <c r="T5" i="2"/>
  <c r="U6" i="2" s="1"/>
  <c r="V6" i="2" s="1"/>
  <c r="F5" i="2"/>
  <c r="J55" i="2" s="1"/>
  <c r="O6" i="2"/>
  <c r="O7" i="2"/>
  <c r="C48" i="2" a="1"/>
  <c r="C46" i="2" a="1"/>
  <c r="C46" i="2" s="1"/>
  <c r="C44" i="2" a="1"/>
  <c r="O5" i="2" l="1"/>
  <c r="J5" i="2"/>
  <c r="K3" i="2" s="1"/>
  <c r="J6" i="2" s="1"/>
  <c r="U8" i="2"/>
  <c r="V8" i="2" s="1"/>
  <c r="U5" i="2"/>
  <c r="V5" i="2" s="1"/>
  <c r="U7" i="2"/>
  <c r="V7" i="2" s="1"/>
  <c r="C48" i="2"/>
  <c r="D48" i="2"/>
  <c r="H48" i="2"/>
  <c r="G48" i="2"/>
  <c r="F48" i="2"/>
  <c r="E48" i="2"/>
  <c r="D44" i="2"/>
  <c r="C44" i="2"/>
  <c r="H44" i="2"/>
  <c r="G44" i="2"/>
  <c r="F44" i="2"/>
  <c r="E44" i="2"/>
  <c r="P8" i="2" l="1"/>
  <c r="R8" i="2" s="1"/>
  <c r="S8" i="2" s="1"/>
  <c r="K55" i="2"/>
  <c r="V21" i="2"/>
  <c r="P7" i="2"/>
  <c r="R7" i="2" s="1"/>
  <c r="S7" i="2" s="1"/>
  <c r="P6" i="2"/>
  <c r="R6" i="2" s="1"/>
  <c r="S6" i="2" s="1"/>
  <c r="P5" i="2"/>
  <c r="R5" i="2" s="1"/>
  <c r="S5" i="2" s="1"/>
  <c r="K5" i="2"/>
  <c r="J7" i="2"/>
  <c r="K6" i="2"/>
  <c r="I8" i="1"/>
  <c r="J8" i="1"/>
  <c r="K8" i="1"/>
  <c r="L8" i="1"/>
  <c r="H8" i="1"/>
  <c r="G8" i="1"/>
  <c r="S21" i="2" l="1"/>
  <c r="R22" i="2" s="1"/>
  <c r="O9" i="1" s="1"/>
  <c r="J8" i="2"/>
  <c r="K7" i="2"/>
  <c r="J9" i="2" l="1"/>
  <c r="K8" i="2"/>
  <c r="J10" i="2" l="1"/>
  <c r="K9" i="2"/>
  <c r="J11" i="2" l="1"/>
  <c r="K10" i="2"/>
  <c r="J12" i="2" l="1"/>
  <c r="K11" i="2"/>
  <c r="J13" i="2" l="1"/>
  <c r="K12" i="2"/>
  <c r="J14" i="2" l="1"/>
  <c r="K13" i="2"/>
  <c r="J15" i="2" l="1"/>
  <c r="K14" i="2"/>
  <c r="J16" i="2" l="1"/>
  <c r="K15" i="2"/>
  <c r="J17" i="2" l="1"/>
  <c r="K16" i="2"/>
  <c r="J18" i="2" l="1"/>
  <c r="K17" i="2"/>
  <c r="J19" i="2" l="1"/>
  <c r="K18" i="2"/>
  <c r="J20" i="2" l="1"/>
  <c r="K19" i="2"/>
  <c r="J21" i="2" l="1"/>
  <c r="K20" i="2"/>
  <c r="J22" i="2" l="1"/>
  <c r="K21" i="2"/>
  <c r="J23" i="2" l="1"/>
  <c r="K22" i="2"/>
  <c r="J24" i="2" l="1"/>
  <c r="K23" i="2"/>
  <c r="J25" i="2" l="1"/>
  <c r="K24" i="2"/>
  <c r="J26" i="2" l="1"/>
  <c r="K25" i="2"/>
  <c r="J27" i="2" l="1"/>
  <c r="K26" i="2"/>
  <c r="J28" i="2" l="1"/>
  <c r="K27" i="2"/>
  <c r="J29" i="2" l="1"/>
  <c r="K28" i="2"/>
  <c r="J30" i="2" l="1"/>
  <c r="K29" i="2"/>
  <c r="J31" i="2" l="1"/>
  <c r="K30" i="2"/>
  <c r="J32" i="2" l="1"/>
  <c r="K31" i="2"/>
  <c r="J33" i="2" l="1"/>
  <c r="K32" i="2"/>
  <c r="J34" i="2" l="1"/>
  <c r="K33" i="2"/>
  <c r="J35" i="2" l="1"/>
  <c r="K34" i="2"/>
  <c r="J36" i="2" l="1"/>
  <c r="K35" i="2"/>
  <c r="J37" i="2" l="1"/>
  <c r="K36" i="2"/>
  <c r="J38" i="2" l="1"/>
  <c r="K37" i="2"/>
  <c r="J39" i="2" l="1"/>
  <c r="K38" i="2"/>
  <c r="J40" i="2" l="1"/>
  <c r="K39" i="2"/>
  <c r="J41" i="2" l="1"/>
  <c r="K40" i="2"/>
  <c r="J42" i="2" l="1"/>
  <c r="K41" i="2"/>
  <c r="J43" i="2" l="1"/>
  <c r="K42" i="2"/>
  <c r="J44" i="2" l="1"/>
  <c r="K43" i="2"/>
  <c r="J45" i="2" l="1"/>
  <c r="K44" i="2"/>
  <c r="J46" i="2" l="1"/>
  <c r="K45" i="2"/>
  <c r="J47" i="2" l="1"/>
  <c r="K46" i="2"/>
  <c r="J48" i="2" l="1"/>
  <c r="K47" i="2"/>
  <c r="J49" i="2" l="1"/>
  <c r="K48" i="2"/>
  <c r="J50" i="2" l="1"/>
  <c r="K49" i="2"/>
  <c r="J51" i="2" l="1"/>
  <c r="K50" i="2"/>
  <c r="J52" i="2" l="1"/>
  <c r="K51" i="2"/>
  <c r="J53" i="2" l="1"/>
  <c r="K52" i="2"/>
  <c r="J54" i="2" l="1"/>
  <c r="K53" i="2"/>
  <c r="K54" i="2" l="1"/>
  <c r="M4" i="2"/>
  <c r="M5"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<sst xmlns="http://schemas.openxmlformats.org/spreadsheetml/2006/main" count="123" uniqueCount="71">
  <si>
    <t>yes</t>
  </si>
  <si>
    <t>Calibration Curve</t>
  </si>
  <si>
    <t>Calibration</t>
  </si>
  <si>
    <t>#</t>
  </si>
  <si>
    <t>tp</t>
  </si>
  <si>
    <t>%</t>
  </si>
  <si>
    <t>use?</t>
  </si>
  <si>
    <t>m0</t>
  </si>
  <si>
    <t>m1</t>
  </si>
  <si>
    <t>m2</t>
  </si>
  <si>
    <t>m3</t>
  </si>
  <si>
    <t>m4</t>
  </si>
  <si>
    <t>m5</t>
  </si>
  <si>
    <t>Regression</t>
  </si>
  <si>
    <t>Support</t>
  </si>
  <si>
    <t>Conversion</t>
  </si>
  <si>
    <t>ρ</t>
  </si>
  <si>
    <t>Water</t>
  </si>
  <si>
    <t>Material</t>
  </si>
  <si>
    <r>
      <t>kg/dm</t>
    </r>
    <r>
      <rPr>
        <vertAlign val="superscript"/>
        <sz val="11"/>
        <color theme="1"/>
        <rFont val="Aptos Narrow"/>
        <family val="2"/>
      </rPr>
      <t>3</t>
    </r>
  </si>
  <si>
    <t>Moisture [Input]</t>
  </si>
  <si>
    <t>Moisture [Output]</t>
  </si>
  <si>
    <t>Linear</t>
  </si>
  <si>
    <t xml:space="preserve">  Sand (dry)</t>
  </si>
  <si>
    <t xml:space="preserve">  Gravel (2-8 mm)</t>
  </si>
  <si>
    <t xml:space="preserve">  Gravel (16-32 mm)</t>
  </si>
  <si>
    <t xml:space="preserve">  Gravel (8-16 mm)</t>
  </si>
  <si>
    <t xml:space="preserve">  Sawdust</t>
  </si>
  <si>
    <t xml:space="preserve">  Wood Chips</t>
  </si>
  <si>
    <t xml:space="preserve">  Biomass</t>
  </si>
  <si>
    <t xml:space="preserve">  Wheat (Grain)</t>
  </si>
  <si>
    <t xml:space="preserve">  Corn (Maize)</t>
  </si>
  <si>
    <t>no</t>
  </si>
  <si>
    <t>Filter &amp; Sort</t>
  </si>
  <si>
    <t>RGP</t>
  </si>
  <si>
    <t>Measuring Points</t>
  </si>
  <si>
    <t>Extend [tp]</t>
  </si>
  <si>
    <t>R^2</t>
  </si>
  <si>
    <t>yi - yi_exp</t>
  </si>
  <si>
    <t>(yi - yi_exp)^2</t>
  </si>
  <si>
    <t>y_Avg</t>
  </si>
  <si>
    <t>(yi - yi_Avg)</t>
  </si>
  <si>
    <t>(yi - yi_Avg)^2</t>
  </si>
  <si>
    <t>SUM</t>
  </si>
  <si>
    <t>x-Achse</t>
  </si>
  <si>
    <t>Tool Box: Content</t>
  </si>
  <si>
    <r>
      <t xml:space="preserve">When measuring, a physical measurement variable, such as time, is recorded and converted into another measurement variable, such as speed. The conversion is performed using a calibration. Calibration therefore represents the translation from the measurement variable to the output variable.
The same applies to moisture measurement. Here, the measured variable is time, too. Specifically, it is the time required for an electrical pulse to travel a certain distance. Because this travel time is directly related to the water content in the measurement volume, the moisture can be derived from it. The conversion from time to moisture depends on the material to be measured and the presence of air (bulk density). Consequently, at least one reference measurement is required to calibrate the probe. The calibration curve determined then describes the relationship between the measured variable and the moisture as the output variable. 
The calibration curve can be determined and optimized using the </t>
    </r>
    <r>
      <rPr>
        <b/>
        <sz val="9"/>
        <color theme="1"/>
        <rFont val="Aptos Narrow"/>
        <family val="2"/>
      </rPr>
      <t>“Calibration”</t>
    </r>
    <r>
      <rPr>
        <sz val="9"/>
        <color theme="1"/>
        <rFont val="Aptos Narrow"/>
        <family val="2"/>
      </rPr>
      <t xml:space="preserve"> spread sheet.</t>
    </r>
  </si>
  <si>
    <r>
      <t>R</t>
    </r>
    <r>
      <rPr>
        <vertAlign val="superscript"/>
        <sz val="9"/>
        <color theme="1"/>
        <rFont val="Aptos Narrow"/>
        <family val="2"/>
      </rPr>
      <t>2</t>
    </r>
    <r>
      <rPr>
        <sz val="9"/>
        <color theme="1"/>
        <rFont val="Aptos Narrow"/>
        <family val="2"/>
      </rPr>
      <t>=</t>
    </r>
  </si>
  <si>
    <t>Volumetric</t>
  </si>
  <si>
    <t>Calculate Moisture based on</t>
  </si>
  <si>
    <t>Dry Material</t>
  </si>
  <si>
    <t>Rho_Mat</t>
  </si>
  <si>
    <t>Phi_GRAV_D</t>
  </si>
  <si>
    <t>PHI_GRAV</t>
  </si>
  <si>
    <r>
      <t>kg/dm</t>
    </r>
    <r>
      <rPr>
        <vertAlign val="superscript"/>
        <sz val="9"/>
        <color theme="2" tint="-0.499984740745262"/>
        <rFont val="Aptos Narrow"/>
        <family val="2"/>
      </rPr>
      <t>3</t>
    </r>
  </si>
  <si>
    <t>Typical Bulk Densitys (Gravimetric, dry Material)</t>
  </si>
  <si>
    <t>Expand this line for further information</t>
  </si>
  <si>
    <r>
      <rPr>
        <i/>
        <sz val="10"/>
        <rFont val="Aptos Narrow"/>
        <family val="2"/>
      </rPr>
      <t>When to use this spreadsheet?</t>
    </r>
    <r>
      <rPr>
        <sz val="10"/>
        <rFont val="Aptos Narrow"/>
        <family val="2"/>
      </rPr>
      <t xml:space="preserve">
Use this spreadsheet to convert volumetric moisture to gravimetric moisture and vice versa.
</t>
    </r>
    <r>
      <rPr>
        <i/>
        <sz val="10"/>
        <rFont val="Aptos Narrow"/>
        <family val="2"/>
      </rPr>
      <t xml:space="preserve">How to use this spreadsheet?
</t>
    </r>
    <r>
      <rPr>
        <sz val="10"/>
        <rFont val="Aptos Narrow"/>
        <family val="2"/>
      </rPr>
      <t>Adjust the light blue highlighted fields to suit your needs:</t>
    </r>
    <r>
      <rPr>
        <i/>
        <sz val="10"/>
        <rFont val="Aptos Narrow"/>
        <family val="2"/>
      </rPr>
      <t xml:space="preserve">
</t>
    </r>
    <r>
      <rPr>
        <sz val="10"/>
        <rFont val="Aptos Narrow"/>
        <family val="2"/>
      </rPr>
      <t xml:space="preserve">(1) First, enter the dry density of the material to be measured.
(2) Under “Calculate Moisture based on,” select the reference state for the moisture specification, i.e., whether the water content is based on the dry mass or the wet mass (= total mass).
(3) Finally, enter the moisture value in “Moisture [Input]” and select whether the input is volumetric or gravimetric moisture.
</t>
    </r>
  </si>
  <si>
    <r>
      <rPr>
        <i/>
        <sz val="10"/>
        <rFont val="Aptos Narrow"/>
        <family val="2"/>
      </rPr>
      <t>When to use this spreadsheet?</t>
    </r>
    <r>
      <rPr>
        <sz val="10"/>
        <rFont val="Aptos Narrow"/>
        <family val="2"/>
      </rPr>
      <t xml:space="preserve">
Use this spreadsheet to determine a calibration function for the reference points you have determined.
</t>
    </r>
    <r>
      <rPr>
        <i/>
        <sz val="10"/>
        <rFont val="Aptos Narrow"/>
        <family val="2"/>
      </rPr>
      <t xml:space="preserve">How to use this spreadsheet?
</t>
    </r>
    <r>
      <rPr>
        <sz val="10"/>
        <rFont val="Aptos Narrow"/>
        <family val="2"/>
      </rPr>
      <t xml:space="preserve">(1) Enter your reference measurements in the table on the left:
</t>
    </r>
    <r>
      <rPr>
        <sz val="10"/>
        <color theme="0"/>
        <rFont val="Aptos Narrow"/>
        <family val="2"/>
      </rPr>
      <t>(1)</t>
    </r>
    <r>
      <rPr>
        <sz val="10"/>
        <rFont val="Aptos Narrow"/>
        <family val="2"/>
      </rPr>
      <t xml:space="preserve"> Each pair of values contains the measured tp value (raw sensor value) and the reference moisture content determined using a reference method (e.g. by drying).
(2) In the “use?” column, you can choose whether the reference point should be included in the calculation of the calibration curve. 
</t>
    </r>
    <r>
      <rPr>
        <sz val="10"/>
        <color theme="0"/>
        <rFont val="Aptos Narrow"/>
        <family val="2"/>
      </rPr>
      <t>(2)</t>
    </r>
    <r>
      <rPr>
        <sz val="10"/>
        <rFont val="Aptos Narrow"/>
        <family val="2"/>
      </rPr>
      <t xml:space="preserve"> This allows you to exclude points (e. g. for a test) without having to remove the information from the table.
(3) The supporting point is an additional reference point that is useful if only one reference measurement is available or if the existing reference measurements show little variation.
(4) The table on the right shows the polynomial coefficients of the calibration curve. You can choose between linear regresseion (default) and higher order polynomials (up to degree of 5).
(5) The setting for “Extend [tp]” only affects the display and causes the calibration curve to be extended beyond the reference points. 
</t>
    </r>
    <r>
      <rPr>
        <sz val="10"/>
        <color theme="0"/>
        <rFont val="Aptos Narrow"/>
        <family val="2"/>
      </rPr>
      <t xml:space="preserve">(5) </t>
    </r>
    <r>
      <rPr>
        <sz val="10"/>
        <rFont val="Aptos Narrow"/>
        <family val="2"/>
      </rPr>
      <t xml:space="preserve">This allows you to evaluate whether the curve outside the known reference points is meaningful.
</t>
    </r>
    <r>
      <rPr>
        <i/>
        <sz val="10"/>
        <rFont val="Aptos Narrow"/>
        <family val="2"/>
      </rPr>
      <t xml:space="preserve">What do I do with the polynomial coefficients?
</t>
    </r>
    <r>
      <rPr>
        <sz val="10"/>
        <rFont val="Aptos Narrow"/>
        <family val="2"/>
      </rPr>
      <t>The polynomial coefficients can be transferred to an existing or new calibration using software (SONO Config / PICO Config / TRIME Tool) or the IMKO CONNECT app.</t>
    </r>
  </si>
  <si>
    <t>Version: 2026-03</t>
  </si>
  <si>
    <t>Soil Density Correction</t>
  </si>
  <si>
    <t>kg/l</t>
  </si>
  <si>
    <t>Correction Offset</t>
  </si>
  <si>
    <t>Soil Density [kg/l]</t>
  </si>
  <si>
    <t>Change Calibration</t>
  </si>
  <si>
    <t xml:space="preserve"> </t>
  </si>
  <si>
    <r>
      <t xml:space="preserve">Not all moisture is the same. The reason for this is the reference point: While the amount of water is sometimes related to volume when calculating the moisture content, elsewhere it is related to mass. And even if two parties have agreed on the volumetric or gravimetric moisture content, confusion can still arise. This is because the moisture content can be based on both the total volume/total mass and the dry volume/dry mass. Misunderstandings are inevitable. The “Conversion” spreadsheet allows you to convert the various moisture specifications. 
The </t>
    </r>
    <r>
      <rPr>
        <b/>
        <sz val="9"/>
        <color theme="1"/>
        <rFont val="Aptos Narrow"/>
        <family val="2"/>
      </rPr>
      <t>“Conversion”</t>
    </r>
    <r>
      <rPr>
        <sz val="9"/>
        <color theme="1"/>
        <rFont val="Aptos Narrow"/>
        <family val="2"/>
      </rPr>
      <t xml:space="preserve"> spread sheet allows you to convert between the different moisture definitions, thus avoiding misunderstandings from the outset.</t>
    </r>
  </si>
  <si>
    <t>One important strength of PICO sensors is its capability to measure volumetric moisture for many soil types with with just one calibration. As only variable, the user need to take the soil density into account, which causes a constant offset to the "Universal Soil" calibration.
The "Soil Density Correction" helps you to obtain the correct offset for your soil application.</t>
  </si>
  <si>
    <t>Soil Density  
Correction</t>
  </si>
  <si>
    <r>
      <rPr>
        <i/>
        <sz val="10"/>
        <rFont val="Aptos Narrow"/>
        <family val="2"/>
      </rPr>
      <t>When to use this spreadsheet?</t>
    </r>
    <r>
      <rPr>
        <sz val="10"/>
        <rFont val="Aptos Narrow"/>
        <family val="2"/>
      </rPr>
      <t xml:space="preserve">
Use this spreadsheet to determine the correction offset m0 for the "Universal Soil Calibraiton" in case of other soil density than 1.41 kg/l.
</t>
    </r>
    <r>
      <rPr>
        <i/>
        <sz val="10"/>
        <rFont val="Aptos Narrow"/>
        <family val="2"/>
      </rPr>
      <t xml:space="preserve">How to use this spreadsheet?
</t>
    </r>
    <r>
      <rPr>
        <sz val="10"/>
        <rFont val="Aptos Narrow"/>
        <family val="2"/>
      </rPr>
      <t xml:space="preserve">(1) Enter the actual soil density in the "Soil Density [kg/l]" input field.
(2) Read the calculated correction offset?
</t>
    </r>
    <r>
      <rPr>
        <i/>
        <sz val="10"/>
        <rFont val="Aptos Narrow"/>
        <family val="2"/>
      </rPr>
      <t xml:space="preserve">What do I do with the correction offset?
</t>
    </r>
    <r>
      <rPr>
        <sz val="10"/>
        <rFont val="Aptos Narrow"/>
        <family val="2"/>
      </rPr>
      <t>Use the correction offset to adjust the "Universal Soil" calibration on your probe. This requieres a connection to the probe by software (PICO Config / TRIME Tool) or the IMKO CONNECT app. Note: Don't replace the existing m0 offset by the calculated value but add or substract the value calculated below to/from the "Universal Soil" offset m0.</t>
    </r>
  </si>
  <si>
    <t xml:space="preserve"> Reference Soil Density for "Universal Soil":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</si>
</sst>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6" x14ac:knownFonts="1">
    <font>
      <sz val="11"/>
      <color theme="1"/>
      <name val="Calibri"/>
      <family val="2"/>
      <scheme val="minor"/>
    </font>
    <font>
      <sz val="11"/>
      <color theme="1"/>
      <name val="Calibri"/>
      <family val="2"/>
      <scheme val="minor"/>
    </font>
    <font>
      <sz val="11"/>
      <color theme="1"/>
      <name val="Aptos Narrow"/>
      <family val="2"/>
    </font>
    <font>
      <b/>
      <sz val="11"/>
      <color theme="1"/>
      <name val="Aptos Narrow"/>
      <family val="2"/>
    </font>
    <font>
      <b/>
      <sz val="20"/>
      <color theme="1"/>
      <name val="Aptos Narrow"/>
      <family val="2"/>
    </font>
    <font>
      <vertAlign val="superscript"/>
      <sz val="11"/>
      <color theme="1"/>
      <name val="Aptos Narrow"/>
      <family val="2"/>
    </font>
    <font>
      <sz val="18"/>
      <color theme="1"/>
      <name val="Aptos Narrow"/>
      <family val="2"/>
    </font>
    <font>
      <sz val="10"/>
      <color theme="2" tint="-0.499984740745262"/>
      <name val="Aptos Narrow"/>
      <family val="2"/>
    </font>
    <font>
      <b/>
      <sz val="10"/>
      <color theme="2" tint="-0.499984740745262"/>
      <name val="Aptos Narrow"/>
      <family val="2"/>
    </font>
    <font>
      <b/>
      <sz val="14"/>
      <color theme="1"/>
      <name val="Calibri"/>
      <family val="2"/>
      <scheme val="minor"/>
    </font>
    <font>
      <sz val="9"/>
      <color theme="1"/>
      <name val="Aptos Narrow"/>
      <family val="2"/>
    </font>
    <font>
      <b/>
      <sz val="9"/>
      <color theme="1"/>
      <name val="Aptos Narrow"/>
      <family val="2"/>
    </font>
    <font>
      <u/>
      <sz val="11"/>
      <color theme="10"/>
      <name val="Calibri"/>
      <family val="2"/>
      <scheme val="minor"/>
    </font>
    <font>
      <b/>
      <i/>
      <sz val="11"/>
      <color theme="1"/>
      <name val="Aptos Narrow"/>
      <family val="2"/>
    </font>
    <font>
      <vertAlign val="superscript"/>
      <sz val="9"/>
      <color theme="1"/>
      <name val="Aptos Narrow"/>
      <family val="2"/>
    </font>
    <font>
      <b/>
      <sz val="9"/>
      <color theme="2" tint="-0.499984740745262"/>
      <name val="Aptos Narrow"/>
      <family val="2"/>
    </font>
    <font>
      <sz val="9"/>
      <color theme="2" tint="-0.499984740745262"/>
      <name val="Aptos Narrow"/>
      <family val="2"/>
    </font>
    <font>
      <vertAlign val="superscript"/>
      <sz val="9"/>
      <color theme="2" tint="-0.499984740745262"/>
      <name val="Aptos Narrow"/>
      <family val="2"/>
    </font>
    <font>
      <sz val="8"/>
      <color theme="0"/>
      <name val="Aptos Narrow"/>
      <family val="2"/>
    </font>
    <font>
      <sz val="11"/>
      <color theme="0"/>
      <name val="Aptos Narrow"/>
      <family val="2"/>
    </font>
    <font>
      <sz val="10"/>
      <name val="Aptos Narrow"/>
      <family val="2"/>
    </font>
    <font>
      <sz val="10"/>
      <color theme="0"/>
      <name val="Aptos Narrow"/>
      <family val="2"/>
    </font>
    <font>
      <i/>
      <sz val="10"/>
      <name val="Aptos Narrow"/>
      <family val="2"/>
    </font>
    <font>
      <sz val="14"/>
      <color theme="1"/>
      <name val="Aptos Narrow"/>
      <family val="2"/>
    </font>
    <font>
      <sz val="22"/>
      <color theme="1"/>
      <name val="Aptos Narrow"/>
      <family val="2"/>
    </font>
    <font>
      <sz val="11"/>
      <color theme="0" tint="-0.499984740745262"/>
      <name val="Aptos Narrow"/>
      <family val="2"/>
    </font>
  </fonts>
  <fills count="10">
    <fill>
      <patternFill patternType="none"/>
    </fill>
    <fill>
      <patternFill patternType="gray125"/>
    </fill>
    <fill>
      <patternFill patternType="solid">
        <fgColor theme="0" tint="-0.249977111117893"/>
        <bgColor indexed="64"/>
      </patternFill>
    </fill>
    <fill>
      <patternFill patternType="solid">
        <fgColor rgb="FF007CAA"/>
        <bgColor indexed="64"/>
      </patternFill>
    </fill>
    <fill>
      <patternFill patternType="solid">
        <fgColor rgb="FFBDEEFF"/>
        <bgColor indexed="64"/>
      </patternFill>
    </fill>
    <fill>
      <patternFill patternType="solid">
        <fgColor rgb="FFE5F8FF"/>
        <bgColor indexed="64"/>
      </patternFill>
    </fill>
    <fill>
      <patternFill patternType="solid">
        <fgColor rgb="FFFBFBFB"/>
        <bgColor indexed="64"/>
      </patternFill>
    </fill>
    <fill>
      <patternFill patternType="solid">
        <fgColor rgb="FFF5F5F5"/>
        <bgColor indexed="64"/>
      </patternFill>
    </fill>
    <fill>
      <patternFill patternType="solid">
        <fgColor rgb="FFFFFF00"/>
        <bgColor indexed="64"/>
      </patternFill>
    </fill>
    <fill>
      <patternFill patternType="solid">
        <fgColor theme="2" tint="-9.9978637043366805E-2"/>
        <bgColor indexed="64"/>
      </patternFill>
    </fill>
  </fills>
  <borders count="22">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theme="0" tint="-0.249977111117893"/>
      </bottom>
      <diagonal/>
    </border>
  </borders>
  <cellStyleXfs count="3">
    <xf numFmtId="0" fontId="0" fillId="0" borderId="0"/>
    <xf numFmtId="9" fontId="1" fillId="0" borderId="0" applyFont="0" applyFill="0" applyBorder="0" applyAlignment="0" applyProtection="0"/>
    <xf numFmtId="0" fontId="12" fillId="0" borderId="0" applyNumberFormat="0" applyFill="0" applyBorder="0" applyAlignment="0" applyProtection="0"/>
  </cellStyleXfs>
  <cellXfs count="172">
    <xf numFmtId="0" fontId="0" fillId="0" borderId="0" xfId="0"/>
    <xf numFmtId="0" fontId="0" fillId="0" borderId="0" xfId="0" applyAlignment="1">
      <alignment horizontal="center" vertical="center"/>
    </xf>
    <xf numFmtId="0" fontId="0" fillId="0" borderId="0" xfId="0" applyAlignment="1">
      <alignment horizontal="center"/>
    </xf>
    <xf numFmtId="0" fontId="0" fillId="0" borderId="0" xfId="0" applyAlignment="1">
      <alignment horizontal="left" vertical="center"/>
    </xf>
    <xf numFmtId="10" fontId="0" fillId="0" borderId="0" xfId="1" applyNumberFormat="1" applyFont="1" applyAlignment="1">
      <alignment horizontal="center"/>
    </xf>
    <xf numFmtId="0" fontId="2" fillId="0" borderId="0" xfId="0" applyFont="1"/>
    <xf numFmtId="0" fontId="2" fillId="6" borderId="0" xfId="0" applyFont="1" applyFill="1"/>
    <xf numFmtId="0" fontId="3" fillId="5" borderId="4" xfId="0" applyFont="1" applyFill="1" applyBorder="1" applyAlignment="1">
      <alignment horizontal="center" vertical="center"/>
    </xf>
    <xf numFmtId="0" fontId="3" fillId="5" borderId="3" xfId="0" applyFont="1" applyFill="1" applyBorder="1" applyAlignment="1">
      <alignment horizontal="center" vertical="center"/>
    </xf>
    <xf numFmtId="0" fontId="2" fillId="6" borderId="0" xfId="0" applyFont="1" applyFill="1" applyAlignment="1">
      <alignment horizontal="center" vertical="center"/>
    </xf>
    <xf numFmtId="0" fontId="2" fillId="4" borderId="1"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7" xfId="0" applyFont="1" applyFill="1" applyBorder="1"/>
    <xf numFmtId="0" fontId="2" fillId="6" borderId="8" xfId="0" applyFont="1" applyFill="1" applyBorder="1" applyAlignment="1">
      <alignment horizontal="center" vertical="center"/>
    </xf>
    <xf numFmtId="0" fontId="2" fillId="6" borderId="9" xfId="0" applyFont="1" applyFill="1" applyBorder="1" applyAlignment="1">
      <alignment horizontal="center" vertical="center"/>
    </xf>
    <xf numFmtId="0" fontId="3" fillId="5" borderId="0" xfId="0" applyFont="1" applyFill="1" applyAlignment="1">
      <alignment horizontal="center" vertical="center"/>
    </xf>
    <xf numFmtId="0" fontId="2" fillId="5" borderId="0" xfId="0" applyFont="1" applyFill="1" applyAlignment="1">
      <alignment horizontal="center" vertical="center"/>
    </xf>
    <xf numFmtId="0" fontId="2" fillId="5" borderId="10" xfId="0" applyFont="1" applyFill="1" applyBorder="1" applyAlignment="1">
      <alignment horizontal="center" vertical="center"/>
    </xf>
    <xf numFmtId="164" fontId="2" fillId="7" borderId="12" xfId="0" applyNumberFormat="1" applyFont="1" applyFill="1" applyBorder="1" applyAlignment="1">
      <alignment horizontal="center" vertical="center"/>
    </xf>
    <xf numFmtId="164" fontId="2" fillId="7" borderId="13" xfId="0" applyNumberFormat="1" applyFont="1" applyFill="1" applyBorder="1" applyAlignment="1">
      <alignment horizontal="center" vertical="center"/>
    </xf>
    <xf numFmtId="0" fontId="2" fillId="4" borderId="14" xfId="0" applyFont="1" applyFill="1" applyBorder="1" applyAlignment="1">
      <alignment horizontal="center" vertical="center"/>
    </xf>
    <xf numFmtId="2" fontId="2" fillId="6" borderId="0" xfId="1" applyNumberFormat="1" applyFont="1" applyFill="1" applyBorder="1" applyAlignment="1">
      <alignment horizontal="center" vertical="center"/>
    </xf>
    <xf numFmtId="0" fontId="3" fillId="6" borderId="0" xfId="0" applyFont="1" applyFill="1" applyAlignment="1">
      <alignment horizontal="center" vertical="center"/>
    </xf>
    <xf numFmtId="0" fontId="2" fillId="7" borderId="0" xfId="0" applyFont="1" applyFill="1" applyAlignment="1">
      <alignment horizontal="center" vertical="center"/>
    </xf>
    <xf numFmtId="0" fontId="0" fillId="0" borderId="17" xfId="0" applyBorder="1"/>
    <xf numFmtId="0" fontId="0" fillId="0" borderId="18" xfId="0" applyBorder="1"/>
    <xf numFmtId="2" fontId="7" fillId="6" borderId="0" xfId="1" applyNumberFormat="1" applyFont="1" applyFill="1" applyBorder="1" applyAlignment="1">
      <alignment horizontal="center" vertical="center"/>
    </xf>
    <xf numFmtId="2" fontId="7" fillId="6" borderId="0" xfId="1" applyNumberFormat="1" applyFont="1" applyFill="1" applyBorder="1" applyAlignment="1">
      <alignment horizontal="left" vertical="center"/>
    </xf>
    <xf numFmtId="0" fontId="0" fillId="0" borderId="15" xfId="0" applyBorder="1" applyAlignment="1">
      <alignment horizontal="center"/>
    </xf>
    <xf numFmtId="0" fontId="0" fillId="0" borderId="16" xfId="0" applyBorder="1" applyAlignment="1">
      <alignment horizontal="center"/>
    </xf>
    <xf numFmtId="0" fontId="0" fillId="0" borderId="10" xfId="0" applyBorder="1" applyAlignment="1">
      <alignment horizontal="center"/>
    </xf>
    <xf numFmtId="0" fontId="0" fillId="0" borderId="17" xfId="0" applyBorder="1" applyAlignment="1">
      <alignment horizontal="center"/>
    </xf>
    <xf numFmtId="2" fontId="0" fillId="0" borderId="11" xfId="1" applyNumberFormat="1" applyFont="1" applyBorder="1" applyAlignment="1">
      <alignment horizontal="center"/>
    </xf>
    <xf numFmtId="0" fontId="0" fillId="0" borderId="18" xfId="0" applyBorder="1" applyAlignment="1">
      <alignment horizontal="center"/>
    </xf>
    <xf numFmtId="0" fontId="0" fillId="0" borderId="7" xfId="0" applyBorder="1" applyAlignment="1">
      <alignment horizontal="center"/>
    </xf>
    <xf numFmtId="2" fontId="0" fillId="0" borderId="19" xfId="1" applyNumberFormat="1" applyFont="1" applyBorder="1" applyAlignment="1">
      <alignment horizont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0" xfId="0" applyBorder="1" applyAlignment="1">
      <alignment horizontal="center" vertical="center"/>
    </xf>
    <xf numFmtId="0" fontId="0" fillId="0" borderId="17" xfId="0" applyBorder="1" applyAlignment="1">
      <alignment horizontal="center" vertical="center"/>
    </xf>
    <xf numFmtId="0" fontId="9" fillId="0" borderId="0" xfId="0" applyFont="1"/>
    <xf numFmtId="0" fontId="0" fillId="0" borderId="15" xfId="0" applyBorder="1" applyAlignment="1">
      <alignment horizontal="left" vertical="center"/>
    </xf>
    <xf numFmtId="0" fontId="0" fillId="0" borderId="11" xfId="0" applyBorder="1" applyAlignment="1">
      <alignment horizontal="center" vertical="center"/>
    </xf>
    <xf numFmtId="0" fontId="0" fillId="0" borderId="18" xfId="0" applyBorder="1" applyAlignment="1">
      <alignment horizontal="center" vertical="center"/>
    </xf>
    <xf numFmtId="0" fontId="0" fillId="0" borderId="7" xfId="0" applyBorder="1" applyAlignment="1">
      <alignment horizontal="center" vertical="center"/>
    </xf>
    <xf numFmtId="0" fontId="0" fillId="0" borderId="19" xfId="0" applyBorder="1" applyAlignment="1">
      <alignment horizontal="center" vertical="center"/>
    </xf>
    <xf numFmtId="1" fontId="0" fillId="0" borderId="11" xfId="0" applyNumberFormat="1" applyBorder="1" applyAlignment="1">
      <alignment horizontal="center" vertical="center"/>
    </xf>
    <xf numFmtId="1" fontId="0" fillId="0" borderId="19" xfId="0" applyNumberFormat="1" applyBorder="1" applyAlignment="1">
      <alignment horizontal="center" vertical="center"/>
    </xf>
    <xf numFmtId="2" fontId="0" fillId="0" borderId="0" xfId="0" applyNumberFormat="1" applyAlignment="1">
      <alignment horizontal="center"/>
    </xf>
    <xf numFmtId="2" fontId="0" fillId="0" borderId="11" xfId="0" applyNumberFormat="1" applyBorder="1" applyAlignment="1">
      <alignment horizontal="center"/>
    </xf>
    <xf numFmtId="2" fontId="0" fillId="0" borderId="19" xfId="0" applyNumberFormat="1" applyBorder="1" applyAlignment="1">
      <alignment horizontal="center"/>
    </xf>
    <xf numFmtId="164" fontId="0" fillId="0" borderId="17" xfId="0" applyNumberFormat="1" applyBorder="1" applyAlignment="1">
      <alignment horizontal="center" vertical="center"/>
    </xf>
    <xf numFmtId="0" fontId="0" fillId="8" borderId="0" xfId="0" applyFill="1" applyAlignment="1">
      <alignment horizontal="center"/>
    </xf>
    <xf numFmtId="2" fontId="0" fillId="0" borderId="0" xfId="0" applyNumberFormat="1" applyAlignment="1">
      <alignment horizontal="center" vertical="center"/>
    </xf>
    <xf numFmtId="0" fontId="2" fillId="4" borderId="6" xfId="0" applyFont="1" applyFill="1" applyBorder="1" applyAlignment="1" applyProtection="1">
      <alignment horizontal="center" vertical="center"/>
      <protection locked="0"/>
    </xf>
    <xf numFmtId="0" fontId="2" fillId="6" borderId="0" xfId="0" applyFont="1" applyFill="1" applyAlignment="1" applyProtection="1">
      <alignment horizontal="center" vertical="center"/>
      <protection locked="0"/>
    </xf>
    <xf numFmtId="2" fontId="2" fillId="6" borderId="0" xfId="1" applyNumberFormat="1" applyFont="1" applyFill="1" applyAlignment="1" applyProtection="1">
      <alignment horizontal="center" vertical="center"/>
      <protection locked="0"/>
    </xf>
    <xf numFmtId="0" fontId="2" fillId="6" borderId="2" xfId="0" applyFont="1" applyFill="1" applyBorder="1" applyAlignment="1" applyProtection="1">
      <alignment horizontal="center" vertical="center"/>
      <protection locked="0"/>
    </xf>
    <xf numFmtId="0" fontId="2" fillId="6" borderId="0" xfId="0" applyFont="1" applyFill="1" applyProtection="1">
      <protection locked="0"/>
    </xf>
    <xf numFmtId="0" fontId="2" fillId="6" borderId="7" xfId="0" applyFont="1" applyFill="1" applyBorder="1" applyProtection="1">
      <protection locked="0"/>
    </xf>
    <xf numFmtId="0" fontId="2" fillId="6" borderId="8" xfId="0" applyFont="1" applyFill="1" applyBorder="1" applyAlignment="1" applyProtection="1">
      <alignment horizontal="center" vertical="center"/>
      <protection locked="0"/>
    </xf>
    <xf numFmtId="0" fontId="2" fillId="6" borderId="20" xfId="0" applyFont="1" applyFill="1" applyBorder="1" applyAlignment="1" applyProtection="1">
      <alignment horizontal="center" vertical="center"/>
      <protection locked="0"/>
    </xf>
    <xf numFmtId="2" fontId="8" fillId="6" borderId="0" xfId="1" applyNumberFormat="1" applyFont="1" applyFill="1" applyBorder="1" applyAlignment="1">
      <alignment horizontal="center" vertical="center"/>
    </xf>
    <xf numFmtId="0" fontId="7" fillId="6" borderId="0" xfId="0" applyFont="1" applyFill="1" applyAlignment="1">
      <alignment horizontal="left" vertical="center"/>
    </xf>
    <xf numFmtId="0" fontId="2" fillId="4" borderId="5" xfId="0" applyFont="1" applyFill="1" applyBorder="1" applyAlignment="1">
      <alignment horizontal="center" vertical="center"/>
    </xf>
    <xf numFmtId="2" fontId="2" fillId="4" borderId="5" xfId="1" applyNumberFormat="1" applyFont="1" applyFill="1" applyBorder="1" applyAlignment="1" applyProtection="1">
      <alignment horizontal="center" vertical="center"/>
    </xf>
    <xf numFmtId="1" fontId="0" fillId="0" borderId="0" xfId="0" applyNumberFormat="1" applyAlignment="1">
      <alignment horizontal="center"/>
    </xf>
    <xf numFmtId="0" fontId="2" fillId="3" borderId="0" xfId="0" applyFont="1" applyFill="1"/>
    <xf numFmtId="0" fontId="3" fillId="7" borderId="0" xfId="0" applyFont="1" applyFill="1" applyAlignment="1">
      <alignment horizontal="center" vertical="center"/>
    </xf>
    <xf numFmtId="0" fontId="10" fillId="6" borderId="0" xfId="0" applyFont="1" applyFill="1" applyAlignment="1">
      <alignment horizontal="right"/>
    </xf>
    <xf numFmtId="2" fontId="10" fillId="6" borderId="0" xfId="0" applyNumberFormat="1" applyFont="1" applyFill="1" applyAlignment="1">
      <alignment horizontal="left"/>
    </xf>
    <xf numFmtId="9" fontId="0" fillId="0" borderId="0" xfId="1" applyFont="1" applyAlignment="1">
      <alignment horizontal="center" vertical="center"/>
    </xf>
    <xf numFmtId="9" fontId="0" fillId="0" borderId="0" xfId="1" applyFont="1" applyAlignment="1">
      <alignment horizontal="center"/>
    </xf>
    <xf numFmtId="0" fontId="16" fillId="6" borderId="0" xfId="0" applyFont="1" applyFill="1" applyAlignment="1">
      <alignment horizontal="left" vertical="center"/>
    </xf>
    <xf numFmtId="2" fontId="16" fillId="6" borderId="0" xfId="1" applyNumberFormat="1" applyFont="1" applyFill="1" applyBorder="1" applyAlignment="1">
      <alignment horizontal="center" vertical="center"/>
    </xf>
    <xf numFmtId="2" fontId="16" fillId="6" borderId="0" xfId="1" applyNumberFormat="1" applyFont="1" applyFill="1" applyBorder="1" applyAlignment="1">
      <alignment horizontal="left" vertical="center"/>
    </xf>
    <xf numFmtId="0" fontId="10" fillId="6" borderId="0" xfId="0" applyFont="1" applyFill="1" applyAlignment="1">
      <alignment horizontal="center" vertical="center"/>
    </xf>
    <xf numFmtId="0" fontId="10" fillId="6" borderId="0" xfId="0" applyFont="1" applyFill="1"/>
    <xf numFmtId="0" fontId="3" fillId="9" borderId="0" xfId="0" applyFont="1" applyFill="1" applyAlignment="1">
      <alignment horizontal="center" vertical="center"/>
    </xf>
    <xf numFmtId="0" fontId="2" fillId="4" borderId="13" xfId="0" applyFont="1" applyFill="1" applyBorder="1" applyAlignment="1">
      <alignment horizontal="center" vertical="center"/>
    </xf>
    <xf numFmtId="2" fontId="2" fillId="0" borderId="0" xfId="1" applyNumberFormat="1" applyFont="1" applyFill="1" applyBorder="1" applyAlignment="1" applyProtection="1">
      <alignment horizontal="center" vertical="center"/>
    </xf>
    <xf numFmtId="10" fontId="6" fillId="6" borderId="0" xfId="0" applyNumberFormat="1" applyFont="1" applyFill="1" applyAlignment="1">
      <alignment vertical="center"/>
    </xf>
    <xf numFmtId="10" fontId="6" fillId="7" borderId="0" xfId="0" applyNumberFormat="1" applyFont="1" applyFill="1" applyAlignment="1">
      <alignment vertical="center"/>
    </xf>
    <xf numFmtId="0" fontId="2" fillId="3" borderId="0" xfId="0" applyFont="1" applyFill="1" applyAlignment="1">
      <alignment vertical="center"/>
    </xf>
    <xf numFmtId="0" fontId="2" fillId="4" borderId="14" xfId="0" applyFont="1" applyFill="1" applyBorder="1" applyAlignment="1" applyProtection="1">
      <alignment horizontal="center" vertical="center"/>
      <protection locked="0"/>
    </xf>
    <xf numFmtId="0" fontId="13" fillId="7" borderId="0" xfId="2" applyFont="1" applyFill="1" applyAlignment="1" applyProtection="1">
      <alignment horizontal="center" vertical="center" wrapText="1"/>
      <protection locked="0"/>
    </xf>
    <xf numFmtId="0" fontId="13" fillId="7" borderId="0" xfId="2" applyFont="1" applyFill="1" applyAlignment="1" applyProtection="1">
      <alignment horizontal="center" vertical="center"/>
      <protection locked="0"/>
    </xf>
    <xf numFmtId="0" fontId="4" fillId="2" borderId="0" xfId="0" applyFont="1" applyFill="1" applyAlignment="1">
      <alignment horizontal="center" vertical="center"/>
    </xf>
    <xf numFmtId="0" fontId="10" fillId="7" borderId="0" xfId="0" applyFont="1" applyFill="1" applyAlignment="1">
      <alignment horizontal="left" vertical="top" wrapText="1"/>
    </xf>
    <xf numFmtId="0" fontId="7" fillId="6" borderId="0" xfId="0" applyFont="1" applyFill="1" applyAlignment="1">
      <alignment horizontal="left" vertical="center"/>
    </xf>
    <xf numFmtId="0" fontId="8" fillId="6" borderId="0" xfId="0" applyFont="1" applyFill="1" applyAlignment="1">
      <alignment horizontal="left" vertical="center"/>
    </xf>
    <xf numFmtId="0" fontId="18" fillId="3" borderId="0" xfId="0" applyFont="1" applyFill="1" applyAlignment="1">
      <alignment horizontal="left" vertical="center"/>
    </xf>
    <xf numFmtId="0" fontId="3" fillId="6" borderId="0" xfId="0" applyFont="1" applyFill="1" applyAlignment="1">
      <alignment horizontal="center" vertical="center"/>
    </xf>
    <xf numFmtId="0" fontId="19" fillId="3" borderId="0" xfId="0" applyFont="1" applyFill="1" applyAlignment="1">
      <alignment horizontal="left" vertical="center"/>
    </xf>
    <xf numFmtId="0" fontId="3" fillId="9" borderId="0" xfId="0" applyFont="1" applyFill="1" applyAlignment="1">
      <alignment horizontal="center" vertical="center"/>
    </xf>
    <xf numFmtId="0" fontId="2" fillId="4" borderId="14" xfId="0" applyFont="1" applyFill="1" applyBorder="1" applyAlignment="1">
      <alignment horizontal="center" vertical="center"/>
    </xf>
    <xf numFmtId="0" fontId="2" fillId="4" borderId="12" xfId="0" applyFont="1" applyFill="1" applyBorder="1" applyAlignment="1">
      <alignment horizontal="center" vertical="center"/>
    </xf>
    <xf numFmtId="0" fontId="2" fillId="4" borderId="13" xfId="0" applyFont="1" applyFill="1" applyBorder="1" applyAlignment="1">
      <alignment horizontal="center" vertical="center"/>
    </xf>
    <xf numFmtId="0" fontId="15" fillId="6" borderId="21" xfId="0" applyFont="1" applyFill="1" applyBorder="1" applyAlignment="1">
      <alignment horizontal="center" vertical="center"/>
    </xf>
    <xf numFmtId="0" fontId="20" fillId="0" borderId="0" xfId="0" applyFont="1" applyAlignment="1">
      <alignment horizontal="left" vertical="top" wrapText="1"/>
    </xf>
    <xf numFmtId="0" fontId="21" fillId="0" borderId="0" xfId="0" applyFont="1" applyAlignment="1">
      <alignment horizontal="left" vertical="top"/>
    </xf>
    <xf numFmtId="0" fontId="2" fillId="7" borderId="14" xfId="0" applyFont="1" applyFill="1" applyBorder="1" applyAlignment="1">
      <alignment horizontal="center" vertical="center"/>
    </xf>
    <xf numFmtId="0" fontId="2" fillId="7" borderId="12" xfId="0" applyFont="1" applyFill="1" applyBorder="1" applyAlignment="1">
      <alignment horizontal="center" vertical="center"/>
    </xf>
    <xf numFmtId="0" fontId="2" fillId="7" borderId="13" xfId="0" applyFont="1" applyFill="1" applyBorder="1" applyAlignment="1">
      <alignment horizontal="center" vertical="center"/>
    </xf>
    <xf numFmtId="10" fontId="6" fillId="6" borderId="15" xfId="0" applyNumberFormat="1" applyFont="1" applyFill="1" applyBorder="1" applyAlignment="1">
      <alignment horizontal="center" vertical="center"/>
    </xf>
    <xf numFmtId="10" fontId="6" fillId="6" borderId="16" xfId="0" applyNumberFormat="1" applyFont="1" applyFill="1" applyBorder="1" applyAlignment="1">
      <alignment horizontal="center" vertical="center"/>
    </xf>
    <xf numFmtId="10" fontId="6" fillId="6" borderId="10" xfId="0" applyNumberFormat="1" applyFont="1" applyFill="1" applyBorder="1" applyAlignment="1">
      <alignment horizontal="center" vertical="center"/>
    </xf>
    <xf numFmtId="10" fontId="6" fillId="6" borderId="17" xfId="0" applyNumberFormat="1" applyFont="1" applyFill="1" applyBorder="1" applyAlignment="1">
      <alignment horizontal="center" vertical="center"/>
    </xf>
    <xf numFmtId="10" fontId="6" fillId="6" borderId="0" xfId="0" applyNumberFormat="1" applyFont="1" applyFill="1" applyAlignment="1">
      <alignment horizontal="center" vertical="center"/>
    </xf>
    <xf numFmtId="10" fontId="6" fillId="6" borderId="11" xfId="0" applyNumberFormat="1" applyFont="1" applyFill="1" applyBorder="1" applyAlignment="1">
      <alignment horizontal="center" vertical="center"/>
    </xf>
    <xf numFmtId="10" fontId="6" fillId="6" borderId="18" xfId="0" applyNumberFormat="1" applyFont="1" applyFill="1" applyBorder="1" applyAlignment="1">
      <alignment horizontal="center" vertical="center"/>
    </xf>
    <xf numFmtId="10" fontId="6" fillId="6" borderId="7" xfId="0" applyNumberFormat="1" applyFont="1" applyFill="1" applyBorder="1" applyAlignment="1">
      <alignment horizontal="center" vertical="center"/>
    </xf>
    <xf numFmtId="10" fontId="6" fillId="6" borderId="19" xfId="0" applyNumberFormat="1" applyFont="1" applyFill="1" applyBorder="1" applyAlignment="1">
      <alignment horizontal="center" vertical="center"/>
    </xf>
    <xf numFmtId="2" fontId="8" fillId="6" borderId="0" xfId="1" applyNumberFormat="1" applyFont="1" applyFill="1" applyBorder="1" applyAlignment="1">
      <alignment horizontal="center" vertical="center"/>
    </xf>
    <xf numFmtId="2" fontId="24" fillId="4" borderId="15" xfId="0" applyNumberFormat="1" applyFont="1" applyFill="1" applyBorder="1" applyAlignment="1" applyProtection="1">
      <alignment horizontal="center" vertical="center"/>
      <protection locked="0"/>
    </xf>
    <xf numFmtId="2" fontId="24" fillId="4" borderId="16" xfId="0" applyNumberFormat="1" applyFont="1" applyFill="1" applyBorder="1" applyAlignment="1" applyProtection="1">
      <alignment horizontal="center" vertical="center"/>
      <protection locked="0"/>
    </xf>
    <xf numFmtId="2" fontId="24" fillId="4" borderId="10" xfId="0" applyNumberFormat="1" applyFont="1" applyFill="1" applyBorder="1" applyAlignment="1" applyProtection="1">
      <alignment horizontal="center" vertical="center"/>
      <protection locked="0"/>
    </xf>
    <xf numFmtId="2" fontId="24" fillId="4" borderId="17" xfId="0" applyNumberFormat="1" applyFont="1" applyFill="1" applyBorder="1" applyAlignment="1" applyProtection="1">
      <alignment horizontal="center" vertical="center"/>
      <protection locked="0"/>
    </xf>
    <xf numFmtId="2" fontId="24" fillId="4" borderId="0" xfId="0" applyNumberFormat="1" applyFont="1" applyFill="1" applyAlignment="1" applyProtection="1">
      <alignment horizontal="center" vertical="center"/>
      <protection locked="0"/>
    </xf>
    <xf numFmtId="2" fontId="24" fillId="4" borderId="11" xfId="0" applyNumberFormat="1" applyFont="1" applyFill="1" applyBorder="1" applyAlignment="1" applyProtection="1">
      <alignment horizontal="center" vertical="center"/>
      <protection locked="0"/>
    </xf>
    <xf numFmtId="2" fontId="24" fillId="4" borderId="18" xfId="0" applyNumberFormat="1" applyFont="1" applyFill="1" applyBorder="1" applyAlignment="1" applyProtection="1">
      <alignment horizontal="center" vertical="center"/>
      <protection locked="0"/>
    </xf>
    <xf numFmtId="2" fontId="24" fillId="4" borderId="7" xfId="0" applyNumberFormat="1" applyFont="1" applyFill="1" applyBorder="1" applyAlignment="1" applyProtection="1">
      <alignment horizontal="center" vertical="center"/>
      <protection locked="0"/>
    </xf>
    <xf numFmtId="2" fontId="24" fillId="4" borderId="19" xfId="0" applyNumberFormat="1" applyFont="1" applyFill="1" applyBorder="1" applyAlignment="1" applyProtection="1">
      <alignment horizontal="center" vertical="center"/>
      <protection locked="0"/>
    </xf>
    <xf numFmtId="0" fontId="0" fillId="0" borderId="0" xfId="0" applyAlignment="1">
      <alignment horizontal="center" vertical="center"/>
    </xf>
    <xf numFmtId="0" fontId="0" fillId="0" borderId="7" xfId="0" applyBorder="1" applyAlignment="1">
      <alignment horizontal="center" vertical="center"/>
    </xf>
    <xf numFmtId="10" fontId="6" fillId="4" borderId="15" xfId="0" applyNumberFormat="1" applyFont="1" applyFill="1" applyBorder="1" applyAlignment="1" applyProtection="1">
      <alignment horizontal="center" vertical="center"/>
      <protection locked="0"/>
    </xf>
    <xf numFmtId="10" fontId="6" fillId="4" borderId="16" xfId="0" applyNumberFormat="1" applyFont="1" applyFill="1" applyBorder="1" applyAlignment="1" applyProtection="1">
      <alignment horizontal="center" vertical="center"/>
      <protection locked="0"/>
    </xf>
    <xf numFmtId="10" fontId="6" fillId="4" borderId="10" xfId="0" applyNumberFormat="1" applyFont="1" applyFill="1" applyBorder="1" applyAlignment="1" applyProtection="1">
      <alignment horizontal="center" vertical="center"/>
      <protection locked="0"/>
    </xf>
    <xf numFmtId="10" fontId="6" fillId="4" borderId="17" xfId="0" applyNumberFormat="1" applyFont="1" applyFill="1" applyBorder="1" applyAlignment="1" applyProtection="1">
      <alignment horizontal="center" vertical="center"/>
      <protection locked="0"/>
    </xf>
    <xf numFmtId="10" fontId="6" fillId="4" borderId="0" xfId="0" applyNumberFormat="1" applyFont="1" applyFill="1" applyAlignment="1" applyProtection="1">
      <alignment horizontal="center" vertical="center"/>
      <protection locked="0"/>
    </xf>
    <xf numFmtId="10" fontId="6" fillId="4" borderId="11" xfId="0" applyNumberFormat="1" applyFont="1" applyFill="1" applyBorder="1" applyAlignment="1" applyProtection="1">
      <alignment horizontal="center" vertical="center"/>
      <protection locked="0"/>
    </xf>
    <xf numFmtId="10" fontId="6" fillId="4" borderId="18" xfId="0" applyNumberFormat="1" applyFont="1" applyFill="1" applyBorder="1" applyAlignment="1" applyProtection="1">
      <alignment horizontal="center" vertical="center"/>
      <protection locked="0"/>
    </xf>
    <xf numFmtId="10" fontId="6" fillId="4" borderId="7" xfId="0" applyNumberFormat="1" applyFont="1" applyFill="1" applyBorder="1" applyAlignment="1" applyProtection="1">
      <alignment horizontal="center" vertical="center"/>
      <protection locked="0"/>
    </xf>
    <xf numFmtId="10" fontId="6" fillId="4" borderId="19" xfId="0" applyNumberFormat="1" applyFont="1" applyFill="1" applyBorder="1" applyAlignment="1" applyProtection="1">
      <alignment horizontal="center" vertical="center"/>
      <protection locked="0"/>
    </xf>
    <xf numFmtId="0" fontId="2" fillId="4" borderId="12" xfId="0" applyFont="1" applyFill="1" applyBorder="1" applyAlignment="1" applyProtection="1">
      <alignment horizontal="center" vertical="center"/>
      <protection locked="0"/>
    </xf>
    <xf numFmtId="0" fontId="2" fillId="4" borderId="14" xfId="0" applyFont="1" applyFill="1" applyBorder="1" applyAlignment="1" applyProtection="1">
      <alignment horizontal="center" vertical="center"/>
      <protection locked="0"/>
    </xf>
    <xf numFmtId="0" fontId="2" fillId="4" borderId="12" xfId="0" applyFont="1" applyFill="1" applyBorder="1" applyAlignment="1" applyProtection="1">
      <alignment horizontal="center" vertical="center"/>
      <protection locked="0"/>
    </xf>
    <xf numFmtId="0" fontId="2" fillId="4" borderId="13"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xf>
    <xf numFmtId="0" fontId="2" fillId="0" borderId="0" xfId="0" applyFont="1" applyProtection="1"/>
    <xf numFmtId="0" fontId="18" fillId="3" borderId="0" xfId="0" applyFont="1" applyFill="1" applyAlignment="1" applyProtection="1">
      <alignment horizontal="left" vertical="center"/>
    </xf>
    <xf numFmtId="0" fontId="20" fillId="0" borderId="0" xfId="0" applyFont="1" applyAlignment="1" applyProtection="1">
      <alignment horizontal="left" vertical="top" wrapText="1"/>
    </xf>
    <xf numFmtId="0" fontId="21" fillId="0" borderId="0" xfId="0" applyFont="1" applyAlignment="1" applyProtection="1">
      <alignment vertical="top"/>
    </xf>
    <xf numFmtId="0" fontId="2" fillId="6" borderId="0" xfId="0" applyFont="1" applyFill="1" applyProtection="1"/>
    <xf numFmtId="0" fontId="3" fillId="9" borderId="0" xfId="0" applyFont="1" applyFill="1" applyAlignment="1" applyProtection="1">
      <alignment horizontal="center" vertical="center"/>
    </xf>
    <xf numFmtId="0" fontId="2" fillId="6" borderId="0" xfId="0" applyFont="1" applyFill="1" applyAlignment="1" applyProtection="1">
      <alignment horizontal="center" vertical="center"/>
    </xf>
    <xf numFmtId="164" fontId="2" fillId="6" borderId="0" xfId="0" applyNumberFormat="1" applyFont="1" applyFill="1" applyAlignment="1" applyProtection="1">
      <alignment horizontal="center" vertical="center"/>
    </xf>
    <xf numFmtId="2" fontId="24" fillId="7" borderId="15" xfId="0" applyNumberFormat="1" applyFont="1" applyFill="1" applyBorder="1" applyAlignment="1" applyProtection="1">
      <alignment horizontal="center" vertical="center"/>
    </xf>
    <xf numFmtId="2" fontId="24" fillId="7" borderId="16" xfId="0" applyNumberFormat="1" applyFont="1" applyFill="1" applyBorder="1" applyAlignment="1" applyProtection="1">
      <alignment horizontal="center" vertical="center"/>
    </xf>
    <xf numFmtId="2" fontId="24" fillId="7" borderId="10" xfId="0" applyNumberFormat="1" applyFont="1" applyFill="1" applyBorder="1" applyAlignment="1" applyProtection="1">
      <alignment horizontal="center" vertical="center"/>
    </xf>
    <xf numFmtId="2" fontId="23" fillId="7" borderId="15" xfId="0" applyNumberFormat="1" applyFont="1" applyFill="1" applyBorder="1" applyAlignment="1" applyProtection="1">
      <alignment horizontal="center" vertical="center" wrapText="1"/>
    </xf>
    <xf numFmtId="2" fontId="23" fillId="7" borderId="16" xfId="0" applyNumberFormat="1" applyFont="1" applyFill="1" applyBorder="1" applyAlignment="1" applyProtection="1">
      <alignment horizontal="center" vertical="center" wrapText="1"/>
    </xf>
    <xf numFmtId="2" fontId="23" fillId="7" borderId="10" xfId="0" applyNumberFormat="1" applyFont="1" applyFill="1" applyBorder="1" applyAlignment="1" applyProtection="1">
      <alignment horizontal="center" vertical="center" wrapText="1"/>
    </xf>
    <xf numFmtId="0" fontId="10" fillId="6" borderId="0" xfId="0" applyFont="1" applyFill="1" applyAlignment="1" applyProtection="1">
      <alignment horizontal="right"/>
    </xf>
    <xf numFmtId="2" fontId="10" fillId="6" borderId="0" xfId="0" applyNumberFormat="1" applyFont="1" applyFill="1" applyAlignment="1" applyProtection="1">
      <alignment horizontal="left"/>
    </xf>
    <xf numFmtId="2" fontId="24" fillId="7" borderId="17" xfId="0" applyNumberFormat="1" applyFont="1" applyFill="1" applyBorder="1" applyAlignment="1" applyProtection="1">
      <alignment horizontal="center" vertical="center"/>
    </xf>
    <xf numFmtId="2" fontId="24" fillId="7" borderId="0" xfId="0" applyNumberFormat="1" applyFont="1" applyFill="1" applyAlignment="1" applyProtection="1">
      <alignment horizontal="center" vertical="center"/>
    </xf>
    <xf numFmtId="2" fontId="24" fillId="7" borderId="11" xfId="0" applyNumberFormat="1" applyFont="1" applyFill="1" applyBorder="1" applyAlignment="1" applyProtection="1">
      <alignment horizontal="center" vertical="center"/>
    </xf>
    <xf numFmtId="2" fontId="23" fillId="7" borderId="17" xfId="0" applyNumberFormat="1" applyFont="1" applyFill="1" applyBorder="1" applyAlignment="1" applyProtection="1">
      <alignment horizontal="center" vertical="center" wrapText="1"/>
    </xf>
    <xf numFmtId="2" fontId="23" fillId="7" borderId="0" xfId="0" applyNumberFormat="1" applyFont="1" applyFill="1" applyAlignment="1" applyProtection="1">
      <alignment horizontal="center" vertical="center" wrapText="1"/>
    </xf>
    <xf numFmtId="2" fontId="23" fillId="7" borderId="11" xfId="0" applyNumberFormat="1" applyFont="1" applyFill="1" applyBorder="1" applyAlignment="1" applyProtection="1">
      <alignment horizontal="center" vertical="center" wrapText="1"/>
    </xf>
    <xf numFmtId="2" fontId="24" fillId="7" borderId="18" xfId="0" applyNumberFormat="1" applyFont="1" applyFill="1" applyBorder="1" applyAlignment="1" applyProtection="1">
      <alignment horizontal="center" vertical="center"/>
    </xf>
    <xf numFmtId="2" fontId="24" fillId="7" borderId="7" xfId="0" applyNumberFormat="1" applyFont="1" applyFill="1" applyBorder="1" applyAlignment="1" applyProtection="1">
      <alignment horizontal="center" vertical="center"/>
    </xf>
    <xf numFmtId="2" fontId="24" fillId="7" borderId="19" xfId="0" applyNumberFormat="1" applyFont="1" applyFill="1" applyBorder="1" applyAlignment="1" applyProtection="1">
      <alignment horizontal="center" vertical="center"/>
    </xf>
    <xf numFmtId="2" fontId="23" fillId="7" borderId="18" xfId="0" applyNumberFormat="1" applyFont="1" applyFill="1" applyBorder="1" applyAlignment="1" applyProtection="1">
      <alignment horizontal="center" vertical="center" wrapText="1"/>
    </xf>
    <xf numFmtId="2" fontId="23" fillId="7" borderId="7" xfId="0" applyNumberFormat="1" applyFont="1" applyFill="1" applyBorder="1" applyAlignment="1" applyProtection="1">
      <alignment horizontal="center" vertical="center" wrapText="1"/>
    </xf>
    <xf numFmtId="2" fontId="23" fillId="7" borderId="19" xfId="0" applyNumberFormat="1" applyFont="1" applyFill="1" applyBorder="1" applyAlignment="1" applyProtection="1">
      <alignment horizontal="center" vertical="center" wrapText="1"/>
    </xf>
    <xf numFmtId="2" fontId="2" fillId="6" borderId="0" xfId="1" applyNumberFormat="1" applyFont="1" applyFill="1" applyBorder="1" applyAlignment="1" applyProtection="1">
      <alignment horizontal="center" vertical="center"/>
    </xf>
    <xf numFmtId="0" fontId="25" fillId="6" borderId="0" xfId="0" applyFont="1" applyFill="1" applyAlignment="1" applyProtection="1">
      <alignment horizontal="left" vertical="center"/>
    </xf>
    <xf numFmtId="0" fontId="25" fillId="6" borderId="0" xfId="0" applyFont="1" applyFill="1" applyAlignment="1" applyProtection="1">
      <alignment horizontal="center" vertical="center"/>
    </xf>
    <xf numFmtId="0" fontId="25" fillId="6" borderId="0" xfId="0" applyFont="1" applyFill="1" applyAlignment="1" applyProtection="1">
      <alignment horizontal="left" vertical="center"/>
    </xf>
    <xf numFmtId="0" fontId="2" fillId="0" borderId="0" xfId="0" applyFont="1" applyAlignment="1" applyProtection="1">
      <alignment horizontal="center" vertical="center"/>
    </xf>
  </cellXfs>
  <cellStyles count="3">
    <cellStyle name="Link" xfId="2" builtinId="8"/>
    <cellStyle name="Prozent" xfId="1" builtinId="5"/>
    <cellStyle name="Standard" xfId="0" builtinId="0"/>
  </cellStyles>
  <dxfs count="7">
    <dxf>
      <font>
        <color rgb="FFFBFBFB"/>
      </font>
    </dxf>
    <dxf>
      <font>
        <color rgb="FFFBFBFB"/>
      </font>
    </dxf>
    <dxf>
      <font>
        <color rgb="FFFBFBFB"/>
      </font>
    </dxf>
    <dxf>
      <font>
        <color rgb="FFFBFBFB"/>
      </font>
    </dxf>
    <dxf>
      <font>
        <color rgb="FFFBFBFB"/>
      </font>
    </dxf>
    <dxf>
      <font>
        <color rgb="FFFBFBFB"/>
      </font>
    </dxf>
    <dxf>
      <font>
        <color rgb="FFFBFBFB"/>
      </font>
    </dxf>
  </dxfs>
  <tableStyles count="0" defaultTableStyle="TableStyleMedium2" defaultPivotStyle="PivotStyleLight16"/>
  <colors>
    <mruColors>
      <color rgb="FFFBFBFB"/>
      <color rgb="FF007CAA"/>
      <color rgb="FFF5F5F5"/>
      <color rgb="FFE5F8FF"/>
      <color rgb="FFBDEEFF"/>
      <color rgb="FF8A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4224773213242602E-2"/>
          <c:y val="3.3491763755774874E-2"/>
          <c:w val="0.87923573488678364"/>
          <c:h val="0.76715145900880033"/>
        </c:manualLayout>
      </c:layout>
      <c:scatterChart>
        <c:scatterStyle val="smoothMarker"/>
        <c:varyColors val="0"/>
        <c:ser>
          <c:idx val="3"/>
          <c:order val="0"/>
          <c:tx>
            <c:v>Calibration Curve</c:v>
          </c:tx>
          <c:spPr>
            <a:ln w="25400" cap="rnd">
              <a:solidFill>
                <a:schemeClr val="bg1">
                  <a:lumMod val="75000"/>
                </a:schemeClr>
              </a:solidFill>
              <a:round/>
            </a:ln>
            <a:effectLst/>
          </c:spPr>
          <c:marker>
            <c:symbol val="none"/>
          </c:marker>
          <c:xVal>
            <c:numRef>
              <c:f>Tools!$J$5:$J$55</c:f>
              <c:numCache>
                <c:formatCode>General</c:formatCode>
                <c:ptCount val="51"/>
                <c:pt idx="0">
                  <c:v>50</c:v>
                </c:pt>
                <c:pt idx="1">
                  <c:v>53</c:v>
                </c:pt>
                <c:pt idx="2">
                  <c:v>56</c:v>
                </c:pt>
                <c:pt idx="3">
                  <c:v>59</c:v>
                </c:pt>
                <c:pt idx="4">
                  <c:v>62</c:v>
                </c:pt>
                <c:pt idx="5">
                  <c:v>65</c:v>
                </c:pt>
                <c:pt idx="6">
                  <c:v>68</c:v>
                </c:pt>
                <c:pt idx="7">
                  <c:v>71</c:v>
                </c:pt>
                <c:pt idx="8">
                  <c:v>74</c:v>
                </c:pt>
                <c:pt idx="9">
                  <c:v>77</c:v>
                </c:pt>
                <c:pt idx="10">
                  <c:v>80</c:v>
                </c:pt>
                <c:pt idx="11">
                  <c:v>83</c:v>
                </c:pt>
                <c:pt idx="12">
                  <c:v>86</c:v>
                </c:pt>
                <c:pt idx="13">
                  <c:v>89</c:v>
                </c:pt>
                <c:pt idx="14">
                  <c:v>92</c:v>
                </c:pt>
                <c:pt idx="15">
                  <c:v>95</c:v>
                </c:pt>
                <c:pt idx="16">
                  <c:v>98</c:v>
                </c:pt>
                <c:pt idx="17">
                  <c:v>101</c:v>
                </c:pt>
                <c:pt idx="18">
                  <c:v>104</c:v>
                </c:pt>
                <c:pt idx="19">
                  <c:v>107</c:v>
                </c:pt>
                <c:pt idx="20">
                  <c:v>110</c:v>
                </c:pt>
                <c:pt idx="21">
                  <c:v>113</c:v>
                </c:pt>
                <c:pt idx="22">
                  <c:v>116</c:v>
                </c:pt>
                <c:pt idx="23">
                  <c:v>119</c:v>
                </c:pt>
                <c:pt idx="24">
                  <c:v>122</c:v>
                </c:pt>
                <c:pt idx="25">
                  <c:v>125</c:v>
                </c:pt>
                <c:pt idx="26">
                  <c:v>128</c:v>
                </c:pt>
                <c:pt idx="27">
                  <c:v>131</c:v>
                </c:pt>
                <c:pt idx="28">
                  <c:v>134</c:v>
                </c:pt>
                <c:pt idx="29">
                  <c:v>137</c:v>
                </c:pt>
                <c:pt idx="30">
                  <c:v>140</c:v>
                </c:pt>
                <c:pt idx="31">
                  <c:v>143</c:v>
                </c:pt>
                <c:pt idx="32">
                  <c:v>146</c:v>
                </c:pt>
                <c:pt idx="33">
                  <c:v>149</c:v>
                </c:pt>
                <c:pt idx="34">
                  <c:v>152</c:v>
                </c:pt>
                <c:pt idx="35">
                  <c:v>155</c:v>
                </c:pt>
                <c:pt idx="36">
                  <c:v>158</c:v>
                </c:pt>
                <c:pt idx="37">
                  <c:v>161</c:v>
                </c:pt>
                <c:pt idx="38">
                  <c:v>164</c:v>
                </c:pt>
                <c:pt idx="39">
                  <c:v>167</c:v>
                </c:pt>
                <c:pt idx="40">
                  <c:v>170</c:v>
                </c:pt>
                <c:pt idx="41">
                  <c:v>173</c:v>
                </c:pt>
                <c:pt idx="42">
                  <c:v>176</c:v>
                </c:pt>
                <c:pt idx="43">
                  <c:v>179</c:v>
                </c:pt>
                <c:pt idx="44">
                  <c:v>182</c:v>
                </c:pt>
                <c:pt idx="45">
                  <c:v>185</c:v>
                </c:pt>
                <c:pt idx="46">
                  <c:v>188</c:v>
                </c:pt>
                <c:pt idx="47">
                  <c:v>191</c:v>
                </c:pt>
                <c:pt idx="48">
                  <c:v>194</c:v>
                </c:pt>
                <c:pt idx="49">
                  <c:v>197</c:v>
                </c:pt>
                <c:pt idx="50">
                  <c:v>200</c:v>
                </c:pt>
              </c:numCache>
            </c:numRef>
          </c:xVal>
          <c:yVal>
            <c:numRef>
              <c:f>Tools!$K$5:$K$55</c:f>
              <c:numCache>
                <c:formatCode>0.00</c:formatCode>
                <c:ptCount val="51"/>
                <c:pt idx="0">
                  <c:v>-3.9316455696202457</c:v>
                </c:pt>
                <c:pt idx="1">
                  <c:v>-3.6468354430379675</c:v>
                </c:pt>
                <c:pt idx="2">
                  <c:v>-3.3620253164556893</c:v>
                </c:pt>
                <c:pt idx="3">
                  <c:v>-3.077215189873411</c:v>
                </c:pt>
                <c:pt idx="4">
                  <c:v>-2.7924050632911328</c:v>
                </c:pt>
                <c:pt idx="5">
                  <c:v>-2.5075949367088546</c:v>
                </c:pt>
                <c:pt idx="6">
                  <c:v>-2.2227848101265755</c:v>
                </c:pt>
                <c:pt idx="7">
                  <c:v>-1.9379746835442972</c:v>
                </c:pt>
                <c:pt idx="8">
                  <c:v>-1.653164556962019</c:v>
                </c:pt>
                <c:pt idx="9">
                  <c:v>-1.3683544303797408</c:v>
                </c:pt>
                <c:pt idx="10">
                  <c:v>-1.0835443037974626</c:v>
                </c:pt>
                <c:pt idx="11">
                  <c:v>-0.79873417721518436</c:v>
                </c:pt>
                <c:pt idx="12">
                  <c:v>-0.51392405063290525</c:v>
                </c:pt>
                <c:pt idx="13">
                  <c:v>-0.22911392405062792</c:v>
                </c:pt>
                <c:pt idx="14">
                  <c:v>5.5696202531651195E-2</c:v>
                </c:pt>
                <c:pt idx="15">
                  <c:v>0.34050632911393031</c:v>
                </c:pt>
                <c:pt idx="16">
                  <c:v>0.62531645569620764</c:v>
                </c:pt>
                <c:pt idx="17">
                  <c:v>0.91012658227848675</c:v>
                </c:pt>
                <c:pt idx="18">
                  <c:v>1.1949367088607641</c:v>
                </c:pt>
                <c:pt idx="19">
                  <c:v>1.4797468354430432</c:v>
                </c:pt>
                <c:pt idx="20">
                  <c:v>1.7645569620253205</c:v>
                </c:pt>
                <c:pt idx="21">
                  <c:v>2.0493670886075996</c:v>
                </c:pt>
                <c:pt idx="22">
                  <c:v>2.3341772151898788</c:v>
                </c:pt>
                <c:pt idx="23">
                  <c:v>2.6189873417721561</c:v>
                </c:pt>
                <c:pt idx="24">
                  <c:v>2.9037974683544352</c:v>
                </c:pt>
                <c:pt idx="25">
                  <c:v>3.1886075949367125</c:v>
                </c:pt>
                <c:pt idx="26">
                  <c:v>3.4734177215189916</c:v>
                </c:pt>
                <c:pt idx="27">
                  <c:v>3.7582278481012708</c:v>
                </c:pt>
                <c:pt idx="28">
                  <c:v>4.0430379746835481</c:v>
                </c:pt>
                <c:pt idx="29">
                  <c:v>4.3278481012658272</c:v>
                </c:pt>
                <c:pt idx="30">
                  <c:v>4.6126582278481045</c:v>
                </c:pt>
                <c:pt idx="31">
                  <c:v>4.8974683544303836</c:v>
                </c:pt>
                <c:pt idx="32">
                  <c:v>5.1822784810126628</c:v>
                </c:pt>
                <c:pt idx="33">
                  <c:v>5.4670886075949401</c:v>
                </c:pt>
                <c:pt idx="34">
                  <c:v>5.7518987341772192</c:v>
                </c:pt>
                <c:pt idx="35">
                  <c:v>6.0367088607594965</c:v>
                </c:pt>
                <c:pt idx="36">
                  <c:v>6.3215189873417756</c:v>
                </c:pt>
                <c:pt idx="37">
                  <c:v>6.606329113924053</c:v>
                </c:pt>
                <c:pt idx="38">
                  <c:v>6.8911392405063321</c:v>
                </c:pt>
                <c:pt idx="39">
                  <c:v>7.1759493670886112</c:v>
                </c:pt>
                <c:pt idx="40">
                  <c:v>7.4607594936708903</c:v>
                </c:pt>
                <c:pt idx="41">
                  <c:v>7.7455696202531659</c:v>
                </c:pt>
                <c:pt idx="42">
                  <c:v>8.030379746835445</c:v>
                </c:pt>
                <c:pt idx="43">
                  <c:v>8.3151898734177241</c:v>
                </c:pt>
                <c:pt idx="44">
                  <c:v>8.6000000000000032</c:v>
                </c:pt>
                <c:pt idx="45">
                  <c:v>8.8848101265822823</c:v>
                </c:pt>
                <c:pt idx="46">
                  <c:v>9.1696202531645579</c:v>
                </c:pt>
                <c:pt idx="47">
                  <c:v>9.454430379746837</c:v>
                </c:pt>
                <c:pt idx="48">
                  <c:v>9.7392405063291161</c:v>
                </c:pt>
                <c:pt idx="49">
                  <c:v>10.024050632911395</c:v>
                </c:pt>
                <c:pt idx="50">
                  <c:v>10.308860759493674</c:v>
                </c:pt>
              </c:numCache>
            </c:numRef>
          </c:yVal>
          <c:smooth val="1"/>
          <c:extLst>
            <c:ext xmlns:c16="http://schemas.microsoft.com/office/drawing/2014/chart" uri="{C3380CC4-5D6E-409C-BE32-E72D297353CC}">
              <c16:uniqueId val="{00000003-B8D6-46F4-8CEA-C30C1691220D}"/>
            </c:ext>
          </c:extLst>
        </c:ser>
        <c:ser>
          <c:idx val="2"/>
          <c:order val="1"/>
          <c:tx>
            <c:v>Measurements</c:v>
          </c:tx>
          <c:spPr>
            <a:ln w="19050" cap="rnd">
              <a:noFill/>
              <a:round/>
            </a:ln>
            <a:effectLst/>
          </c:spPr>
          <c:marker>
            <c:symbol val="circle"/>
            <c:size val="8"/>
            <c:spPr>
              <a:solidFill>
                <a:srgbClr val="007CAA"/>
              </a:solidFill>
              <a:ln w="9525">
                <a:solidFill>
                  <a:srgbClr val="007CAA"/>
                </a:solidFill>
              </a:ln>
              <a:effectLst/>
            </c:spPr>
          </c:marker>
          <c:xVal>
            <c:numRef>
              <c:f>[0]!Calibration_x</c:f>
              <c:numCache>
                <c:formatCode>General</c:formatCode>
                <c:ptCount val="4"/>
                <c:pt idx="0">
                  <c:v>60</c:v>
                </c:pt>
                <c:pt idx="1">
                  <c:v>150</c:v>
                </c:pt>
                <c:pt idx="2">
                  <c:v>170</c:v>
                </c:pt>
                <c:pt idx="3">
                  <c:v>190</c:v>
                </c:pt>
              </c:numCache>
            </c:numRef>
          </c:xVal>
          <c:yVal>
            <c:numRef>
              <c:f>[0]!Calibration_y</c:f>
              <c:numCache>
                <c:formatCode>General</c:formatCode>
                <c:ptCount val="4"/>
                <c:pt idx="0">
                  <c:v>-3</c:v>
                </c:pt>
                <c:pt idx="1">
                  <c:v>5.6</c:v>
                </c:pt>
                <c:pt idx="2">
                  <c:v>7.5</c:v>
                </c:pt>
                <c:pt idx="3">
                  <c:v>9.3000000000000007</c:v>
                </c:pt>
              </c:numCache>
            </c:numRef>
          </c:yVal>
          <c:smooth val="1"/>
          <c:extLst>
            <c:ext xmlns:c16="http://schemas.microsoft.com/office/drawing/2014/chart" uri="{C3380CC4-5D6E-409C-BE32-E72D297353CC}">
              <c16:uniqueId val="{00000002-B8D6-46F4-8CEA-C30C1691220D}"/>
            </c:ext>
          </c:extLst>
        </c:ser>
        <c:dLbls>
          <c:showLegendKey val="0"/>
          <c:showVal val="0"/>
          <c:showCatName val="0"/>
          <c:showSerName val="0"/>
          <c:showPercent val="0"/>
          <c:showBubbleSize val="0"/>
        </c:dLbls>
        <c:axId val="665597176"/>
        <c:axId val="665598976"/>
      </c:scatterChart>
      <c:valAx>
        <c:axId val="665597176"/>
        <c:scaling>
          <c:orientation val="minMax"/>
        </c:scaling>
        <c:delete val="0"/>
        <c:axPos val="b"/>
        <c:majorGridlines>
          <c:spPr>
            <a:ln w="9525" cap="flat" cmpd="sng" algn="ctr">
              <a:solidFill>
                <a:srgbClr val="F5F5F5"/>
              </a:solidFill>
              <a:round/>
            </a:ln>
            <a:effectLst/>
          </c:spPr>
        </c:majorGridlines>
        <c:title>
          <c:tx>
            <c:rich>
              <a:bodyPr rot="0" spcFirstLastPara="1" vertOverflow="ellipsis" vert="horz" wrap="square" anchor="ctr" anchorCtr="1"/>
              <a:lstStyle/>
              <a:p>
                <a:pPr>
                  <a:defRPr sz="1100" b="1" i="0" u="none" strike="noStrike" kern="1200" baseline="0">
                    <a:solidFill>
                      <a:schemeClr val="tx1">
                        <a:lumMod val="65000"/>
                        <a:lumOff val="35000"/>
                      </a:schemeClr>
                    </a:solidFill>
                    <a:latin typeface="Aptos Narrow" panose="020B0004020202020204" pitchFamily="34" charset="0"/>
                    <a:ea typeface="+mn-ea"/>
                    <a:cs typeface="+mn-cs"/>
                  </a:defRPr>
                </a:pPr>
                <a:r>
                  <a:rPr lang="de-DE" sz="1100" b="1">
                    <a:latin typeface="Aptos Narrow" panose="020B0004020202020204" pitchFamily="34" charset="0"/>
                  </a:rPr>
                  <a:t>tp</a:t>
                </a:r>
              </a:p>
            </c:rich>
          </c:tx>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Aptos Narrow" panose="020B0004020202020204" pitchFamily="34" charset="0"/>
                  <a:ea typeface="+mn-ea"/>
                  <a:cs typeface="+mn-cs"/>
                </a:defRPr>
              </a:pPr>
              <a:endParaRPr lang="de-DE"/>
            </a:p>
          </c:txPr>
        </c:title>
        <c:numFmt formatCode="#,##0" sourceLinked="0"/>
        <c:majorTickMark val="none"/>
        <c:minorTickMark val="none"/>
        <c:tickLblPos val="low"/>
        <c:spPr>
          <a:noFill/>
          <a:ln w="9525" cap="flat" cmpd="sng" algn="ctr">
            <a:solidFill>
              <a:schemeClr val="bg2">
                <a:lumMod val="50000"/>
              </a:schemeClr>
            </a:solidFill>
            <a:round/>
          </a:ln>
          <a:effectLst/>
        </c:spPr>
        <c:txPr>
          <a:bodyPr rot="-60000000" spcFirstLastPara="1" vertOverflow="ellipsis" vert="horz" wrap="square" anchor="ctr" anchorCtr="1"/>
          <a:lstStyle/>
          <a:p>
            <a:pPr>
              <a:defRPr sz="1000" b="0"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crossAx val="665598976"/>
        <c:crosses val="autoZero"/>
        <c:crossBetween val="midCat"/>
      </c:valAx>
      <c:valAx>
        <c:axId val="665598976"/>
        <c:scaling>
          <c:orientation val="minMax"/>
        </c:scaling>
        <c:delete val="0"/>
        <c:axPos val="l"/>
        <c:majorGridlines>
          <c:spPr>
            <a:ln w="9525" cap="flat" cmpd="sng" algn="ctr">
              <a:solidFill>
                <a:srgbClr val="F5F5F5"/>
              </a:solidFill>
              <a:round/>
            </a:ln>
            <a:effectLst/>
          </c:spPr>
        </c:majorGridlines>
        <c:title>
          <c:tx>
            <c:rich>
              <a:bodyPr rot="-5400000" spcFirstLastPara="1" vertOverflow="ellipsis" vert="horz" wrap="square" anchor="ctr" anchorCtr="1"/>
              <a:lstStyle/>
              <a:p>
                <a:pPr algn="ctr" rtl="0">
                  <a:defRPr lang="de-DE" sz="1100" b="1" i="0" u="none" strike="noStrike" kern="1200" baseline="0">
                    <a:solidFill>
                      <a:sysClr val="windowText" lastClr="000000">
                        <a:lumMod val="65000"/>
                        <a:lumOff val="35000"/>
                      </a:sysClr>
                    </a:solidFill>
                    <a:latin typeface="Aptos Narrow" panose="020B0004020202020204" pitchFamily="34" charset="0"/>
                    <a:ea typeface="+mn-ea"/>
                    <a:cs typeface="+mn-cs"/>
                  </a:defRPr>
                </a:pPr>
                <a:r>
                  <a:rPr lang="de-DE" sz="1100" b="1" i="0" u="none" strike="noStrike" kern="1200" baseline="0">
                    <a:solidFill>
                      <a:sysClr val="windowText" lastClr="000000">
                        <a:lumMod val="65000"/>
                        <a:lumOff val="35000"/>
                      </a:sysClr>
                    </a:solidFill>
                    <a:latin typeface="Aptos Narrow" panose="020B0004020202020204" pitchFamily="34" charset="0"/>
                    <a:ea typeface="+mn-ea"/>
                    <a:cs typeface="+mn-cs"/>
                  </a:rPr>
                  <a:t>Moisture [%]</a:t>
                </a:r>
              </a:p>
            </c:rich>
          </c:tx>
          <c:overlay val="0"/>
          <c:spPr>
            <a:noFill/>
            <a:ln>
              <a:noFill/>
            </a:ln>
            <a:effectLst/>
          </c:spPr>
          <c:txPr>
            <a:bodyPr rot="-5400000" spcFirstLastPara="1" vertOverflow="ellipsis" vert="horz" wrap="square" anchor="ctr" anchorCtr="1"/>
            <a:lstStyle/>
            <a:p>
              <a:pPr algn="ctr" rtl="0">
                <a:defRPr lang="de-DE" sz="1100" b="1" i="0" u="none" strike="noStrike" kern="1200" baseline="0">
                  <a:solidFill>
                    <a:sysClr val="windowText" lastClr="000000">
                      <a:lumMod val="65000"/>
                      <a:lumOff val="35000"/>
                    </a:sysClr>
                  </a:solidFill>
                  <a:latin typeface="Aptos Narrow" panose="020B0004020202020204" pitchFamily="34" charset="0"/>
                  <a:ea typeface="+mn-ea"/>
                  <a:cs typeface="+mn-cs"/>
                </a:defRPr>
              </a:pPr>
              <a:endParaRPr lang="de-DE"/>
            </a:p>
          </c:txPr>
        </c:title>
        <c:numFmt formatCode="0" sourceLinked="0"/>
        <c:majorTickMark val="none"/>
        <c:minorTickMark val="none"/>
        <c:tickLblPos val="nextTo"/>
        <c:spPr>
          <a:noFill/>
          <a:ln w="9525" cap="flat" cmpd="sng" algn="ctr">
            <a:solidFill>
              <a:schemeClr val="bg2">
                <a:lumMod val="50000"/>
              </a:schemeClr>
            </a:solidFill>
            <a:round/>
          </a:ln>
          <a:effectLst/>
        </c:spPr>
        <c:txPr>
          <a:bodyPr rot="-60000000" spcFirstLastPara="1" vertOverflow="ellipsis" vert="horz" wrap="square" anchor="ctr" anchorCtr="1"/>
          <a:lstStyle/>
          <a:p>
            <a:pPr>
              <a:defRPr sz="1000" b="0"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crossAx val="665597176"/>
        <c:crosses val="autoZero"/>
        <c:crossBetween val="midCat"/>
      </c:valAx>
      <c:spPr>
        <a:noFill/>
        <a:ln>
          <a:solidFill>
            <a:schemeClr val="bg1">
              <a:lumMod val="85000"/>
            </a:schemeClr>
          </a:solid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FBFBFB"/>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de-DE" sz="1100">
                <a:solidFill>
                  <a:schemeClr val="tx1">
                    <a:lumMod val="75000"/>
                    <a:lumOff val="25000"/>
                  </a:schemeClr>
                </a:solidFill>
                <a:latin typeface="Aptos Narrow" panose="020B0004020202020204" pitchFamily="34" charset="0"/>
              </a:rPr>
              <a:t>Conversion based on Dry Material</a:t>
            </a:r>
          </a:p>
        </c:rich>
      </c:tx>
      <c:layout>
        <c:manualLayout>
          <c:xMode val="edge"/>
          <c:yMode val="edge"/>
          <c:x val="0.32839318380656962"/>
          <c:y val="3.007518796992481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0.18855384554203453"/>
          <c:y val="0.16089129483814524"/>
          <c:w val="0.74920315358307488"/>
          <c:h val="0.62472550306211727"/>
        </c:manualLayout>
      </c:layout>
      <c:scatterChart>
        <c:scatterStyle val="smoothMarker"/>
        <c:varyColors val="0"/>
        <c:ser>
          <c:idx val="0"/>
          <c:order val="0"/>
          <c:tx>
            <c:strRef>
              <c:f>Tools!$B$63</c:f>
              <c:strCache>
                <c:ptCount val="1"/>
                <c:pt idx="0">
                  <c:v>2,5</c:v>
                </c:pt>
              </c:strCache>
            </c:strRef>
          </c:tx>
          <c:spPr>
            <a:ln w="19050" cap="rnd">
              <a:solidFill>
                <a:schemeClr val="tx1">
                  <a:lumMod val="65000"/>
                  <a:lumOff val="35000"/>
                </a:schemeClr>
              </a:solidFill>
              <a:round/>
            </a:ln>
            <a:effectLst/>
          </c:spPr>
          <c:marker>
            <c:symbol val="none"/>
          </c:marker>
          <c:xVal>
            <c:numRef>
              <c:f>Tools!$A$65:$A$85</c:f>
              <c:numCache>
                <c:formatCode>0%</c:formatCode>
                <c:ptCount val="21"/>
                <c:pt idx="0">
                  <c:v>0</c:v>
                </c:pt>
                <c:pt idx="1">
                  <c:v>0.05</c:v>
                </c:pt>
                <c:pt idx="2">
                  <c:v>0.1</c:v>
                </c:pt>
                <c:pt idx="3">
                  <c:v>0.15</c:v>
                </c:pt>
                <c:pt idx="4">
                  <c:v>0.2</c:v>
                </c:pt>
                <c:pt idx="5">
                  <c:v>0.25</c:v>
                </c:pt>
                <c:pt idx="6">
                  <c:v>0.3</c:v>
                </c:pt>
                <c:pt idx="7">
                  <c:v>0.35</c:v>
                </c:pt>
                <c:pt idx="8">
                  <c:v>0.4</c:v>
                </c:pt>
                <c:pt idx="9">
                  <c:v>0.45</c:v>
                </c:pt>
                <c:pt idx="10">
                  <c:v>0.5</c:v>
                </c:pt>
                <c:pt idx="11">
                  <c:v>0.55000000000000004</c:v>
                </c:pt>
                <c:pt idx="12">
                  <c:v>0.6</c:v>
                </c:pt>
                <c:pt idx="13">
                  <c:v>0.65</c:v>
                </c:pt>
                <c:pt idx="14">
                  <c:v>0.7</c:v>
                </c:pt>
                <c:pt idx="15">
                  <c:v>0.75</c:v>
                </c:pt>
                <c:pt idx="16">
                  <c:v>0.8</c:v>
                </c:pt>
                <c:pt idx="17">
                  <c:v>0.85</c:v>
                </c:pt>
                <c:pt idx="18">
                  <c:v>0.9</c:v>
                </c:pt>
                <c:pt idx="19">
                  <c:v>0.95</c:v>
                </c:pt>
                <c:pt idx="20">
                  <c:v>1</c:v>
                </c:pt>
              </c:numCache>
            </c:numRef>
          </c:xVal>
          <c:yVal>
            <c:numRef>
              <c:f>Tools!$B$65:$B$85</c:f>
              <c:numCache>
                <c:formatCode>0%</c:formatCode>
                <c:ptCount val="21"/>
                <c:pt idx="0">
                  <c:v>0</c:v>
                </c:pt>
                <c:pt idx="1">
                  <c:v>0.02</c:v>
                </c:pt>
                <c:pt idx="2">
                  <c:v>0.04</c:v>
                </c:pt>
                <c:pt idx="3">
                  <c:v>0.06</c:v>
                </c:pt>
                <c:pt idx="4">
                  <c:v>0.08</c:v>
                </c:pt>
                <c:pt idx="5">
                  <c:v>0.1</c:v>
                </c:pt>
                <c:pt idx="6">
                  <c:v>0.12</c:v>
                </c:pt>
                <c:pt idx="7">
                  <c:v>0.13999999999999999</c:v>
                </c:pt>
                <c:pt idx="8">
                  <c:v>0.16</c:v>
                </c:pt>
                <c:pt idx="9">
                  <c:v>0.18</c:v>
                </c:pt>
                <c:pt idx="10">
                  <c:v>0.2</c:v>
                </c:pt>
                <c:pt idx="11">
                  <c:v>0.22000000000000003</c:v>
                </c:pt>
                <c:pt idx="12">
                  <c:v>0.24</c:v>
                </c:pt>
                <c:pt idx="13">
                  <c:v>0.26</c:v>
                </c:pt>
                <c:pt idx="14">
                  <c:v>0.27999999999999997</c:v>
                </c:pt>
                <c:pt idx="15">
                  <c:v>0.3</c:v>
                </c:pt>
                <c:pt idx="16">
                  <c:v>0.32</c:v>
                </c:pt>
                <c:pt idx="17">
                  <c:v>0.33999999999999997</c:v>
                </c:pt>
                <c:pt idx="18">
                  <c:v>0.36</c:v>
                </c:pt>
                <c:pt idx="19">
                  <c:v>0.38</c:v>
                </c:pt>
                <c:pt idx="20">
                  <c:v>0.4</c:v>
                </c:pt>
              </c:numCache>
            </c:numRef>
          </c:yVal>
          <c:smooth val="1"/>
          <c:extLst>
            <c:ext xmlns:c16="http://schemas.microsoft.com/office/drawing/2014/chart" uri="{C3380CC4-5D6E-409C-BE32-E72D297353CC}">
              <c16:uniqueId val="{00000000-71D1-4CA7-879B-934E9BDF8049}"/>
            </c:ext>
          </c:extLst>
        </c:ser>
        <c:ser>
          <c:idx val="1"/>
          <c:order val="1"/>
          <c:tx>
            <c:strRef>
              <c:f>Tools!$C$63</c:f>
              <c:strCache>
                <c:ptCount val="1"/>
                <c:pt idx="0">
                  <c:v>1</c:v>
                </c:pt>
              </c:strCache>
            </c:strRef>
          </c:tx>
          <c:spPr>
            <a:ln w="19050" cap="rnd">
              <a:solidFill>
                <a:srgbClr val="007CAA"/>
              </a:solidFill>
              <a:round/>
            </a:ln>
            <a:effectLst/>
          </c:spPr>
          <c:marker>
            <c:symbol val="none"/>
          </c:marker>
          <c:xVal>
            <c:numRef>
              <c:f>Tools!$A$65:$A$85</c:f>
              <c:numCache>
                <c:formatCode>0%</c:formatCode>
                <c:ptCount val="21"/>
                <c:pt idx="0">
                  <c:v>0</c:v>
                </c:pt>
                <c:pt idx="1">
                  <c:v>0.05</c:v>
                </c:pt>
                <c:pt idx="2">
                  <c:v>0.1</c:v>
                </c:pt>
                <c:pt idx="3">
                  <c:v>0.15</c:v>
                </c:pt>
                <c:pt idx="4">
                  <c:v>0.2</c:v>
                </c:pt>
                <c:pt idx="5">
                  <c:v>0.25</c:v>
                </c:pt>
                <c:pt idx="6">
                  <c:v>0.3</c:v>
                </c:pt>
                <c:pt idx="7">
                  <c:v>0.35</c:v>
                </c:pt>
                <c:pt idx="8">
                  <c:v>0.4</c:v>
                </c:pt>
                <c:pt idx="9">
                  <c:v>0.45</c:v>
                </c:pt>
                <c:pt idx="10">
                  <c:v>0.5</c:v>
                </c:pt>
                <c:pt idx="11">
                  <c:v>0.55000000000000004</c:v>
                </c:pt>
                <c:pt idx="12">
                  <c:v>0.6</c:v>
                </c:pt>
                <c:pt idx="13">
                  <c:v>0.65</c:v>
                </c:pt>
                <c:pt idx="14">
                  <c:v>0.7</c:v>
                </c:pt>
                <c:pt idx="15">
                  <c:v>0.75</c:v>
                </c:pt>
                <c:pt idx="16">
                  <c:v>0.8</c:v>
                </c:pt>
                <c:pt idx="17">
                  <c:v>0.85</c:v>
                </c:pt>
                <c:pt idx="18">
                  <c:v>0.9</c:v>
                </c:pt>
                <c:pt idx="19">
                  <c:v>0.95</c:v>
                </c:pt>
                <c:pt idx="20">
                  <c:v>1</c:v>
                </c:pt>
              </c:numCache>
            </c:numRef>
          </c:xVal>
          <c:yVal>
            <c:numRef>
              <c:f>Tools!$C$65:$C$85</c:f>
              <c:numCache>
                <c:formatCode>0%</c:formatCode>
                <c:ptCount val="21"/>
                <c:pt idx="0">
                  <c:v>0</c:v>
                </c:pt>
                <c:pt idx="1">
                  <c:v>0.05</c:v>
                </c:pt>
                <c:pt idx="2">
                  <c:v>0.1</c:v>
                </c:pt>
                <c:pt idx="3">
                  <c:v>0.15</c:v>
                </c:pt>
                <c:pt idx="4">
                  <c:v>0.2</c:v>
                </c:pt>
                <c:pt idx="5">
                  <c:v>0.25</c:v>
                </c:pt>
                <c:pt idx="6">
                  <c:v>0.3</c:v>
                </c:pt>
                <c:pt idx="7">
                  <c:v>0.35</c:v>
                </c:pt>
                <c:pt idx="8">
                  <c:v>0.4</c:v>
                </c:pt>
                <c:pt idx="9">
                  <c:v>0.45</c:v>
                </c:pt>
                <c:pt idx="10">
                  <c:v>0.5</c:v>
                </c:pt>
                <c:pt idx="11">
                  <c:v>0.55000000000000004</c:v>
                </c:pt>
                <c:pt idx="12">
                  <c:v>0.6</c:v>
                </c:pt>
                <c:pt idx="13">
                  <c:v>0.65</c:v>
                </c:pt>
                <c:pt idx="14">
                  <c:v>0.7</c:v>
                </c:pt>
                <c:pt idx="15">
                  <c:v>0.75</c:v>
                </c:pt>
                <c:pt idx="16">
                  <c:v>0.8</c:v>
                </c:pt>
                <c:pt idx="17">
                  <c:v>0.85</c:v>
                </c:pt>
                <c:pt idx="18">
                  <c:v>0.9</c:v>
                </c:pt>
                <c:pt idx="19">
                  <c:v>0.95</c:v>
                </c:pt>
                <c:pt idx="20">
                  <c:v>1</c:v>
                </c:pt>
              </c:numCache>
            </c:numRef>
          </c:yVal>
          <c:smooth val="1"/>
          <c:extLst>
            <c:ext xmlns:c16="http://schemas.microsoft.com/office/drawing/2014/chart" uri="{C3380CC4-5D6E-409C-BE32-E72D297353CC}">
              <c16:uniqueId val="{00000001-71D1-4CA7-879B-934E9BDF8049}"/>
            </c:ext>
          </c:extLst>
        </c:ser>
        <c:ser>
          <c:idx val="2"/>
          <c:order val="2"/>
          <c:tx>
            <c:strRef>
              <c:f>Tools!$D$63</c:f>
              <c:strCache>
                <c:ptCount val="1"/>
                <c:pt idx="0">
                  <c:v>0,25</c:v>
                </c:pt>
              </c:strCache>
            </c:strRef>
          </c:tx>
          <c:spPr>
            <a:ln w="19050" cap="rnd">
              <a:solidFill>
                <a:schemeClr val="bg1">
                  <a:lumMod val="75000"/>
                </a:schemeClr>
              </a:solidFill>
              <a:round/>
            </a:ln>
            <a:effectLst/>
          </c:spPr>
          <c:marker>
            <c:symbol val="none"/>
          </c:marker>
          <c:xVal>
            <c:numRef>
              <c:f>Tools!$A$65:$A$85</c:f>
              <c:numCache>
                <c:formatCode>0%</c:formatCode>
                <c:ptCount val="21"/>
                <c:pt idx="0">
                  <c:v>0</c:v>
                </c:pt>
                <c:pt idx="1">
                  <c:v>0.05</c:v>
                </c:pt>
                <c:pt idx="2">
                  <c:v>0.1</c:v>
                </c:pt>
                <c:pt idx="3">
                  <c:v>0.15</c:v>
                </c:pt>
                <c:pt idx="4">
                  <c:v>0.2</c:v>
                </c:pt>
                <c:pt idx="5">
                  <c:v>0.25</c:v>
                </c:pt>
                <c:pt idx="6">
                  <c:v>0.3</c:v>
                </c:pt>
                <c:pt idx="7">
                  <c:v>0.35</c:v>
                </c:pt>
                <c:pt idx="8">
                  <c:v>0.4</c:v>
                </c:pt>
                <c:pt idx="9">
                  <c:v>0.45</c:v>
                </c:pt>
                <c:pt idx="10">
                  <c:v>0.5</c:v>
                </c:pt>
                <c:pt idx="11">
                  <c:v>0.55000000000000004</c:v>
                </c:pt>
                <c:pt idx="12">
                  <c:v>0.6</c:v>
                </c:pt>
                <c:pt idx="13">
                  <c:v>0.65</c:v>
                </c:pt>
                <c:pt idx="14">
                  <c:v>0.7</c:v>
                </c:pt>
                <c:pt idx="15">
                  <c:v>0.75</c:v>
                </c:pt>
                <c:pt idx="16">
                  <c:v>0.8</c:v>
                </c:pt>
                <c:pt idx="17">
                  <c:v>0.85</c:v>
                </c:pt>
                <c:pt idx="18">
                  <c:v>0.9</c:v>
                </c:pt>
                <c:pt idx="19">
                  <c:v>0.95</c:v>
                </c:pt>
                <c:pt idx="20">
                  <c:v>1</c:v>
                </c:pt>
              </c:numCache>
            </c:numRef>
          </c:xVal>
          <c:yVal>
            <c:numRef>
              <c:f>Tools!$D$65:$D$85</c:f>
              <c:numCache>
                <c:formatCode>0%</c:formatCode>
                <c:ptCount val="21"/>
                <c:pt idx="0">
                  <c:v>0</c:v>
                </c:pt>
                <c:pt idx="1">
                  <c:v>0.2</c:v>
                </c:pt>
                <c:pt idx="2">
                  <c:v>0.4</c:v>
                </c:pt>
                <c:pt idx="3">
                  <c:v>0.6</c:v>
                </c:pt>
                <c:pt idx="4">
                  <c:v>0.8</c:v>
                </c:pt>
                <c:pt idx="5">
                  <c:v>1</c:v>
                </c:pt>
                <c:pt idx="6">
                  <c:v>1.2</c:v>
                </c:pt>
                <c:pt idx="7">
                  <c:v>1.4</c:v>
                </c:pt>
                <c:pt idx="8">
                  <c:v>1.6</c:v>
                </c:pt>
                <c:pt idx="9">
                  <c:v>1.8</c:v>
                </c:pt>
                <c:pt idx="10">
                  <c:v>2</c:v>
                </c:pt>
                <c:pt idx="11">
                  <c:v>2.2000000000000002</c:v>
                </c:pt>
                <c:pt idx="12">
                  <c:v>2.4</c:v>
                </c:pt>
                <c:pt idx="13">
                  <c:v>2.6</c:v>
                </c:pt>
                <c:pt idx="14">
                  <c:v>2.8</c:v>
                </c:pt>
                <c:pt idx="15">
                  <c:v>3</c:v>
                </c:pt>
                <c:pt idx="16">
                  <c:v>3.2</c:v>
                </c:pt>
                <c:pt idx="17">
                  <c:v>3.4</c:v>
                </c:pt>
                <c:pt idx="18">
                  <c:v>3.6</c:v>
                </c:pt>
                <c:pt idx="19">
                  <c:v>3.8</c:v>
                </c:pt>
                <c:pt idx="20">
                  <c:v>4</c:v>
                </c:pt>
              </c:numCache>
            </c:numRef>
          </c:yVal>
          <c:smooth val="1"/>
          <c:extLst>
            <c:ext xmlns:c16="http://schemas.microsoft.com/office/drawing/2014/chart" uri="{C3380CC4-5D6E-409C-BE32-E72D297353CC}">
              <c16:uniqueId val="{00000002-71D1-4CA7-879B-934E9BDF8049}"/>
            </c:ext>
          </c:extLst>
        </c:ser>
        <c:dLbls>
          <c:showLegendKey val="0"/>
          <c:showVal val="0"/>
          <c:showCatName val="0"/>
          <c:showSerName val="0"/>
          <c:showPercent val="0"/>
          <c:showBubbleSize val="0"/>
        </c:dLbls>
        <c:axId val="1466272384"/>
        <c:axId val="1466273344"/>
      </c:scatterChart>
      <c:valAx>
        <c:axId val="1466272384"/>
        <c:scaling>
          <c:orientation val="minMax"/>
          <c:max val="1"/>
        </c:scaling>
        <c:delete val="0"/>
        <c:axPos val="b"/>
        <c:majorGridlines>
          <c:spPr>
            <a:ln w="9525" cap="flat" cmpd="sng" algn="ctr">
              <a:solidFill>
                <a:srgbClr val="F5F5F5"/>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75000"/>
                        <a:lumOff val="25000"/>
                      </a:schemeClr>
                    </a:solidFill>
                    <a:latin typeface="+mn-lt"/>
                    <a:ea typeface="+mn-ea"/>
                    <a:cs typeface="+mn-cs"/>
                  </a:defRPr>
                </a:pPr>
                <a:r>
                  <a:rPr lang="de-DE" sz="1100" b="1" i="0" u="none" strike="noStrike" kern="1200" baseline="0">
                    <a:solidFill>
                      <a:schemeClr val="tx1">
                        <a:lumMod val="75000"/>
                        <a:lumOff val="25000"/>
                      </a:schemeClr>
                    </a:solidFill>
                    <a:latin typeface="Aptos Narrow" panose="020B0004020202020204" pitchFamily="34" charset="0"/>
                  </a:rPr>
                  <a:t>φ</a:t>
                </a:r>
                <a:r>
                  <a:rPr lang="de-DE" sz="1100" b="1" i="0" u="none" strike="noStrike" kern="1200" baseline="-25000">
                    <a:solidFill>
                      <a:schemeClr val="tx1">
                        <a:lumMod val="75000"/>
                        <a:lumOff val="25000"/>
                      </a:schemeClr>
                    </a:solidFill>
                    <a:latin typeface="Aptos Narrow" panose="020B0004020202020204" pitchFamily="34" charset="0"/>
                  </a:rPr>
                  <a:t>VOL,D</a:t>
                </a:r>
              </a:p>
            </c:rich>
          </c:tx>
          <c:layout>
            <c:manualLayout>
              <c:xMode val="edge"/>
              <c:yMode val="edge"/>
              <c:x val="0.50754855643044605"/>
              <c:y val="0.8873067949839603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mn-lt"/>
                  <a:ea typeface="+mn-ea"/>
                  <a:cs typeface="+mn-cs"/>
                </a:defRPr>
              </a:pPr>
              <a:endParaRPr lang="de-DE"/>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crossAx val="1466273344"/>
        <c:crosses val="autoZero"/>
        <c:crossBetween val="midCat"/>
      </c:valAx>
      <c:valAx>
        <c:axId val="1466273344"/>
        <c:scaling>
          <c:orientation val="minMax"/>
          <c:max val="2"/>
        </c:scaling>
        <c:delete val="0"/>
        <c:axPos val="l"/>
        <c:majorGridlines>
          <c:spPr>
            <a:ln w="9525" cap="flat" cmpd="sng" algn="ctr">
              <a:solidFill>
                <a:srgbClr val="F5F5F5"/>
              </a:solidFill>
              <a:round/>
            </a:ln>
            <a:effectLst/>
          </c:spPr>
        </c:majorGridlines>
        <c:title>
          <c:tx>
            <c:rich>
              <a:bodyPr rot="-5400000" spcFirstLastPara="1" vertOverflow="ellipsis" vert="horz" wrap="square" anchor="ctr" anchorCtr="1"/>
              <a:lstStyle/>
              <a:p>
                <a:pPr>
                  <a:defRPr sz="1100" b="1" i="0" u="none" strike="noStrike" kern="1200" baseline="0">
                    <a:solidFill>
                      <a:schemeClr val="tx1">
                        <a:lumMod val="75000"/>
                        <a:lumOff val="25000"/>
                      </a:schemeClr>
                    </a:solidFill>
                    <a:latin typeface="Aptos Narrow" panose="020B0004020202020204" pitchFamily="34" charset="0"/>
                    <a:ea typeface="+mn-ea"/>
                    <a:cs typeface="+mn-cs"/>
                  </a:defRPr>
                </a:pPr>
                <a:r>
                  <a:rPr lang="de-DE" sz="1100" b="1">
                    <a:solidFill>
                      <a:schemeClr val="tx1">
                        <a:lumMod val="75000"/>
                        <a:lumOff val="25000"/>
                      </a:schemeClr>
                    </a:solidFill>
                    <a:latin typeface="Aptos Narrow" panose="020B0004020202020204" pitchFamily="34" charset="0"/>
                  </a:rPr>
                  <a:t>φ</a:t>
                </a:r>
                <a:r>
                  <a:rPr lang="de-DE" sz="1100" b="1" baseline="-25000">
                    <a:solidFill>
                      <a:schemeClr val="tx1">
                        <a:lumMod val="75000"/>
                        <a:lumOff val="25000"/>
                      </a:schemeClr>
                    </a:solidFill>
                    <a:latin typeface="Aptos Narrow" panose="020B0004020202020204" pitchFamily="34" charset="0"/>
                  </a:rPr>
                  <a:t>GRAV,D</a:t>
                </a:r>
              </a:p>
            </c:rich>
          </c:tx>
          <c:layout>
            <c:manualLayout>
              <c:xMode val="edge"/>
              <c:yMode val="edge"/>
              <c:x val="1.6666666666666666E-2"/>
              <c:y val="0.3535583052118485"/>
            </c:manualLayout>
          </c:layout>
          <c:overlay val="0"/>
          <c:spPr>
            <a:noFill/>
            <a:ln>
              <a:noFill/>
            </a:ln>
            <a:effectLst/>
          </c:spPr>
          <c:txPr>
            <a:bodyPr rot="-5400000" spcFirstLastPara="1" vertOverflow="ellipsis" vert="horz" wrap="square" anchor="ctr" anchorCtr="1"/>
            <a:lstStyle/>
            <a:p>
              <a:pPr>
                <a:defRPr sz="1100" b="1"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title>
        <c:numFmt formatCode="0%" sourceLinked="1"/>
        <c:majorTickMark val="none"/>
        <c:minorTickMark val="none"/>
        <c:tickLblPos val="nextTo"/>
        <c:spPr>
          <a:noFill/>
          <a:ln w="9525" cap="flat" cmpd="sng" algn="ctr">
            <a:solidFill>
              <a:schemeClr val="bg2">
                <a:lumMod val="50000"/>
              </a:schemeClr>
            </a:solidFill>
            <a:round/>
          </a:ln>
          <a:effectLst/>
        </c:spPr>
        <c:txPr>
          <a:bodyPr rot="-60000000" spcFirstLastPara="1" vertOverflow="ellipsis" vert="horz" wrap="square" anchor="ctr" anchorCtr="1"/>
          <a:lstStyle/>
          <a:p>
            <a:pPr>
              <a:defRPr sz="1000" b="0"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crossAx val="1466272384"/>
        <c:crosses val="autoZero"/>
        <c:crossBetween val="midCat"/>
      </c:valAx>
      <c:spPr>
        <a:noFill/>
        <a:ln>
          <a:noFill/>
        </a:ln>
        <a:effectLst/>
      </c:spPr>
    </c:plotArea>
    <c:legend>
      <c:legendPos val="b"/>
      <c:layout>
        <c:manualLayout>
          <c:xMode val="edge"/>
          <c:yMode val="edge"/>
          <c:x val="0.72668346958517105"/>
          <c:y val="0.18083396479479188"/>
          <c:w val="0.21000568678915138"/>
          <c:h val="0.216165427238261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FBFBFB"/>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de-DE" sz="1100">
                <a:solidFill>
                  <a:schemeClr val="tx1">
                    <a:lumMod val="75000"/>
                    <a:lumOff val="25000"/>
                  </a:schemeClr>
                </a:solidFill>
                <a:latin typeface="Aptos Narrow" panose="020B0004020202020204" pitchFamily="34" charset="0"/>
              </a:rPr>
              <a:t>Conversion based on Wet Material</a:t>
            </a:r>
          </a:p>
        </c:rich>
      </c:tx>
      <c:layout>
        <c:manualLayout>
          <c:xMode val="edge"/>
          <c:yMode val="edge"/>
          <c:x val="0.32839318380656962"/>
          <c:y val="3.007518796992481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0.18855384554203453"/>
          <c:y val="0.16089129483814524"/>
          <c:w val="0.74920315358307488"/>
          <c:h val="0.62472550306211727"/>
        </c:manualLayout>
      </c:layout>
      <c:scatterChart>
        <c:scatterStyle val="smoothMarker"/>
        <c:varyColors val="0"/>
        <c:ser>
          <c:idx val="0"/>
          <c:order val="0"/>
          <c:tx>
            <c:strRef>
              <c:f>Tools!$B$63</c:f>
              <c:strCache>
                <c:ptCount val="1"/>
                <c:pt idx="0">
                  <c:v>2,5</c:v>
                </c:pt>
              </c:strCache>
            </c:strRef>
          </c:tx>
          <c:spPr>
            <a:ln w="19050" cap="rnd">
              <a:solidFill>
                <a:schemeClr val="tx1">
                  <a:lumMod val="65000"/>
                  <a:lumOff val="35000"/>
                </a:schemeClr>
              </a:solidFill>
              <a:round/>
            </a:ln>
            <a:effectLst/>
          </c:spPr>
          <c:marker>
            <c:symbol val="none"/>
          </c:marker>
          <c:xVal>
            <c:numRef>
              <c:f>Tools!$A$65:$A$85</c:f>
              <c:numCache>
                <c:formatCode>0%</c:formatCode>
                <c:ptCount val="21"/>
                <c:pt idx="0">
                  <c:v>0</c:v>
                </c:pt>
                <c:pt idx="1">
                  <c:v>0.05</c:v>
                </c:pt>
                <c:pt idx="2">
                  <c:v>0.1</c:v>
                </c:pt>
                <c:pt idx="3">
                  <c:v>0.15</c:v>
                </c:pt>
                <c:pt idx="4">
                  <c:v>0.2</c:v>
                </c:pt>
                <c:pt idx="5">
                  <c:v>0.25</c:v>
                </c:pt>
                <c:pt idx="6">
                  <c:v>0.3</c:v>
                </c:pt>
                <c:pt idx="7">
                  <c:v>0.35</c:v>
                </c:pt>
                <c:pt idx="8">
                  <c:v>0.4</c:v>
                </c:pt>
                <c:pt idx="9">
                  <c:v>0.45</c:v>
                </c:pt>
                <c:pt idx="10">
                  <c:v>0.5</c:v>
                </c:pt>
                <c:pt idx="11">
                  <c:v>0.55000000000000004</c:v>
                </c:pt>
                <c:pt idx="12">
                  <c:v>0.6</c:v>
                </c:pt>
                <c:pt idx="13">
                  <c:v>0.65</c:v>
                </c:pt>
                <c:pt idx="14">
                  <c:v>0.7</c:v>
                </c:pt>
                <c:pt idx="15">
                  <c:v>0.75</c:v>
                </c:pt>
                <c:pt idx="16">
                  <c:v>0.8</c:v>
                </c:pt>
                <c:pt idx="17">
                  <c:v>0.85</c:v>
                </c:pt>
                <c:pt idx="18">
                  <c:v>0.9</c:v>
                </c:pt>
                <c:pt idx="19">
                  <c:v>0.95</c:v>
                </c:pt>
                <c:pt idx="20">
                  <c:v>1</c:v>
                </c:pt>
              </c:numCache>
            </c:numRef>
          </c:xVal>
          <c:yVal>
            <c:numRef>
              <c:f>Tools!$F$65:$F$85</c:f>
              <c:numCache>
                <c:formatCode>0%</c:formatCode>
                <c:ptCount val="21"/>
                <c:pt idx="0">
                  <c:v>0</c:v>
                </c:pt>
                <c:pt idx="1">
                  <c:v>2.0618556701030931E-2</c:v>
                </c:pt>
                <c:pt idx="2">
                  <c:v>4.2553191489361701E-2</c:v>
                </c:pt>
                <c:pt idx="3">
                  <c:v>6.5934065934065936E-2</c:v>
                </c:pt>
                <c:pt idx="4">
                  <c:v>9.0909090909090912E-2</c:v>
                </c:pt>
                <c:pt idx="5">
                  <c:v>0.11764705882352941</c:v>
                </c:pt>
                <c:pt idx="6">
                  <c:v>0.14634146341463417</c:v>
                </c:pt>
                <c:pt idx="7">
                  <c:v>0.17721518987341769</c:v>
                </c:pt>
                <c:pt idx="8">
                  <c:v>0.2105263157894737</c:v>
                </c:pt>
                <c:pt idx="9">
                  <c:v>0.24657534246575344</c:v>
                </c:pt>
                <c:pt idx="10">
                  <c:v>0.2857142857142857</c:v>
                </c:pt>
                <c:pt idx="11">
                  <c:v>0.32835820895522388</c:v>
                </c:pt>
                <c:pt idx="12">
                  <c:v>0.37499999999999994</c:v>
                </c:pt>
                <c:pt idx="13">
                  <c:v>0.42622950819672134</c:v>
                </c:pt>
                <c:pt idx="14">
                  <c:v>0.48275862068965508</c:v>
                </c:pt>
                <c:pt idx="15">
                  <c:v>0.54545454545454541</c:v>
                </c:pt>
                <c:pt idx="16">
                  <c:v>0.61538461538461553</c:v>
                </c:pt>
                <c:pt idx="17">
                  <c:v>0.69387755102040805</c:v>
                </c:pt>
                <c:pt idx="18">
                  <c:v>0.78260869565217395</c:v>
                </c:pt>
                <c:pt idx="19">
                  <c:v>0.88372093023255793</c:v>
                </c:pt>
                <c:pt idx="20">
                  <c:v>1</c:v>
                </c:pt>
              </c:numCache>
            </c:numRef>
          </c:yVal>
          <c:smooth val="1"/>
          <c:extLst>
            <c:ext xmlns:c16="http://schemas.microsoft.com/office/drawing/2014/chart" uri="{C3380CC4-5D6E-409C-BE32-E72D297353CC}">
              <c16:uniqueId val="{00000000-3B89-4540-B65A-676D0F6A7CB8}"/>
            </c:ext>
          </c:extLst>
        </c:ser>
        <c:ser>
          <c:idx val="1"/>
          <c:order val="1"/>
          <c:tx>
            <c:strRef>
              <c:f>Tools!$C$63</c:f>
              <c:strCache>
                <c:ptCount val="1"/>
                <c:pt idx="0">
                  <c:v>1</c:v>
                </c:pt>
              </c:strCache>
            </c:strRef>
          </c:tx>
          <c:spPr>
            <a:ln w="19050" cap="rnd">
              <a:solidFill>
                <a:srgbClr val="007CAA"/>
              </a:solidFill>
              <a:round/>
            </a:ln>
            <a:effectLst/>
          </c:spPr>
          <c:marker>
            <c:symbol val="none"/>
          </c:marker>
          <c:xVal>
            <c:numRef>
              <c:f>Tools!$A$65:$A$85</c:f>
              <c:numCache>
                <c:formatCode>0%</c:formatCode>
                <c:ptCount val="21"/>
                <c:pt idx="0">
                  <c:v>0</c:v>
                </c:pt>
                <c:pt idx="1">
                  <c:v>0.05</c:v>
                </c:pt>
                <c:pt idx="2">
                  <c:v>0.1</c:v>
                </c:pt>
                <c:pt idx="3">
                  <c:v>0.15</c:v>
                </c:pt>
                <c:pt idx="4">
                  <c:v>0.2</c:v>
                </c:pt>
                <c:pt idx="5">
                  <c:v>0.25</c:v>
                </c:pt>
                <c:pt idx="6">
                  <c:v>0.3</c:v>
                </c:pt>
                <c:pt idx="7">
                  <c:v>0.35</c:v>
                </c:pt>
                <c:pt idx="8">
                  <c:v>0.4</c:v>
                </c:pt>
                <c:pt idx="9">
                  <c:v>0.45</c:v>
                </c:pt>
                <c:pt idx="10">
                  <c:v>0.5</c:v>
                </c:pt>
                <c:pt idx="11">
                  <c:v>0.55000000000000004</c:v>
                </c:pt>
                <c:pt idx="12">
                  <c:v>0.6</c:v>
                </c:pt>
                <c:pt idx="13">
                  <c:v>0.65</c:v>
                </c:pt>
                <c:pt idx="14">
                  <c:v>0.7</c:v>
                </c:pt>
                <c:pt idx="15">
                  <c:v>0.75</c:v>
                </c:pt>
                <c:pt idx="16">
                  <c:v>0.8</c:v>
                </c:pt>
                <c:pt idx="17">
                  <c:v>0.85</c:v>
                </c:pt>
                <c:pt idx="18">
                  <c:v>0.9</c:v>
                </c:pt>
                <c:pt idx="19">
                  <c:v>0.95</c:v>
                </c:pt>
                <c:pt idx="20">
                  <c:v>1</c:v>
                </c:pt>
              </c:numCache>
            </c:numRef>
          </c:xVal>
          <c:yVal>
            <c:numRef>
              <c:f>Tools!$G$65:$G$85</c:f>
              <c:numCache>
                <c:formatCode>0%</c:formatCode>
                <c:ptCount val="21"/>
                <c:pt idx="0">
                  <c:v>0</c:v>
                </c:pt>
                <c:pt idx="1">
                  <c:v>0.05</c:v>
                </c:pt>
                <c:pt idx="2">
                  <c:v>0.1</c:v>
                </c:pt>
                <c:pt idx="3">
                  <c:v>0.15</c:v>
                </c:pt>
                <c:pt idx="4">
                  <c:v>0.2</c:v>
                </c:pt>
                <c:pt idx="5">
                  <c:v>0.25</c:v>
                </c:pt>
                <c:pt idx="6">
                  <c:v>0.3</c:v>
                </c:pt>
                <c:pt idx="7">
                  <c:v>0.35</c:v>
                </c:pt>
                <c:pt idx="8">
                  <c:v>0.4</c:v>
                </c:pt>
                <c:pt idx="9">
                  <c:v>0.45</c:v>
                </c:pt>
                <c:pt idx="10">
                  <c:v>0.5</c:v>
                </c:pt>
                <c:pt idx="11">
                  <c:v>0.55000000000000004</c:v>
                </c:pt>
                <c:pt idx="12">
                  <c:v>0.6</c:v>
                </c:pt>
                <c:pt idx="13">
                  <c:v>0.65</c:v>
                </c:pt>
                <c:pt idx="14">
                  <c:v>0.7</c:v>
                </c:pt>
                <c:pt idx="15">
                  <c:v>0.75</c:v>
                </c:pt>
                <c:pt idx="16">
                  <c:v>0.8</c:v>
                </c:pt>
                <c:pt idx="17">
                  <c:v>0.85</c:v>
                </c:pt>
                <c:pt idx="18">
                  <c:v>0.9</c:v>
                </c:pt>
                <c:pt idx="19">
                  <c:v>0.95</c:v>
                </c:pt>
                <c:pt idx="20">
                  <c:v>1</c:v>
                </c:pt>
              </c:numCache>
            </c:numRef>
          </c:yVal>
          <c:smooth val="1"/>
          <c:extLst>
            <c:ext xmlns:c16="http://schemas.microsoft.com/office/drawing/2014/chart" uri="{C3380CC4-5D6E-409C-BE32-E72D297353CC}">
              <c16:uniqueId val="{00000001-3B89-4540-B65A-676D0F6A7CB8}"/>
            </c:ext>
          </c:extLst>
        </c:ser>
        <c:ser>
          <c:idx val="2"/>
          <c:order val="2"/>
          <c:tx>
            <c:strRef>
              <c:f>Tools!$D$63</c:f>
              <c:strCache>
                <c:ptCount val="1"/>
                <c:pt idx="0">
                  <c:v>0,25</c:v>
                </c:pt>
              </c:strCache>
            </c:strRef>
          </c:tx>
          <c:spPr>
            <a:ln w="19050" cap="rnd">
              <a:solidFill>
                <a:schemeClr val="bg1">
                  <a:lumMod val="75000"/>
                </a:schemeClr>
              </a:solidFill>
              <a:round/>
            </a:ln>
            <a:effectLst/>
          </c:spPr>
          <c:marker>
            <c:symbol val="none"/>
          </c:marker>
          <c:xVal>
            <c:numRef>
              <c:f>Tools!$A$65:$A$85</c:f>
              <c:numCache>
                <c:formatCode>0%</c:formatCode>
                <c:ptCount val="21"/>
                <c:pt idx="0">
                  <c:v>0</c:v>
                </c:pt>
                <c:pt idx="1">
                  <c:v>0.05</c:v>
                </c:pt>
                <c:pt idx="2">
                  <c:v>0.1</c:v>
                </c:pt>
                <c:pt idx="3">
                  <c:v>0.15</c:v>
                </c:pt>
                <c:pt idx="4">
                  <c:v>0.2</c:v>
                </c:pt>
                <c:pt idx="5">
                  <c:v>0.25</c:v>
                </c:pt>
                <c:pt idx="6">
                  <c:v>0.3</c:v>
                </c:pt>
                <c:pt idx="7">
                  <c:v>0.35</c:v>
                </c:pt>
                <c:pt idx="8">
                  <c:v>0.4</c:v>
                </c:pt>
                <c:pt idx="9">
                  <c:v>0.45</c:v>
                </c:pt>
                <c:pt idx="10">
                  <c:v>0.5</c:v>
                </c:pt>
                <c:pt idx="11">
                  <c:v>0.55000000000000004</c:v>
                </c:pt>
                <c:pt idx="12">
                  <c:v>0.6</c:v>
                </c:pt>
                <c:pt idx="13">
                  <c:v>0.65</c:v>
                </c:pt>
                <c:pt idx="14">
                  <c:v>0.7</c:v>
                </c:pt>
                <c:pt idx="15">
                  <c:v>0.75</c:v>
                </c:pt>
                <c:pt idx="16">
                  <c:v>0.8</c:v>
                </c:pt>
                <c:pt idx="17">
                  <c:v>0.85</c:v>
                </c:pt>
                <c:pt idx="18">
                  <c:v>0.9</c:v>
                </c:pt>
                <c:pt idx="19">
                  <c:v>0.95</c:v>
                </c:pt>
                <c:pt idx="20">
                  <c:v>1</c:v>
                </c:pt>
              </c:numCache>
            </c:numRef>
          </c:xVal>
          <c:yVal>
            <c:numRef>
              <c:f>Tools!$H$65:$H$85</c:f>
              <c:numCache>
                <c:formatCode>0%</c:formatCode>
                <c:ptCount val="21"/>
                <c:pt idx="0">
                  <c:v>0</c:v>
                </c:pt>
                <c:pt idx="1">
                  <c:v>0.17391304347826089</c:v>
                </c:pt>
                <c:pt idx="2">
                  <c:v>0.30769230769230771</c:v>
                </c:pt>
                <c:pt idx="3">
                  <c:v>0.41379310344827586</c:v>
                </c:pt>
                <c:pt idx="4">
                  <c:v>0.5</c:v>
                </c:pt>
                <c:pt idx="5">
                  <c:v>0.5714285714285714</c:v>
                </c:pt>
                <c:pt idx="6">
                  <c:v>0.63157894736842102</c:v>
                </c:pt>
                <c:pt idx="7">
                  <c:v>0.68292682926829273</c:v>
                </c:pt>
                <c:pt idx="8">
                  <c:v>0.72727272727272729</c:v>
                </c:pt>
                <c:pt idx="9">
                  <c:v>0.76595744680851063</c:v>
                </c:pt>
                <c:pt idx="10">
                  <c:v>0.8</c:v>
                </c:pt>
                <c:pt idx="11">
                  <c:v>0.83018867924528295</c:v>
                </c:pt>
                <c:pt idx="12">
                  <c:v>0.85714285714285721</c:v>
                </c:pt>
                <c:pt idx="13">
                  <c:v>0.88135593220338981</c:v>
                </c:pt>
                <c:pt idx="14">
                  <c:v>0.90322580645161299</c:v>
                </c:pt>
                <c:pt idx="15">
                  <c:v>0.92307692307692313</c:v>
                </c:pt>
                <c:pt idx="16">
                  <c:v>0.94117647058823528</c:v>
                </c:pt>
                <c:pt idx="17">
                  <c:v>0.95774647887323949</c:v>
                </c:pt>
                <c:pt idx="18">
                  <c:v>0.97297297297297292</c:v>
                </c:pt>
                <c:pt idx="19">
                  <c:v>0.98701298701298701</c:v>
                </c:pt>
                <c:pt idx="20">
                  <c:v>1</c:v>
                </c:pt>
              </c:numCache>
            </c:numRef>
          </c:yVal>
          <c:smooth val="1"/>
          <c:extLst>
            <c:ext xmlns:c16="http://schemas.microsoft.com/office/drawing/2014/chart" uri="{C3380CC4-5D6E-409C-BE32-E72D297353CC}">
              <c16:uniqueId val="{00000002-3B89-4540-B65A-676D0F6A7CB8}"/>
            </c:ext>
          </c:extLst>
        </c:ser>
        <c:dLbls>
          <c:showLegendKey val="0"/>
          <c:showVal val="0"/>
          <c:showCatName val="0"/>
          <c:showSerName val="0"/>
          <c:showPercent val="0"/>
          <c:showBubbleSize val="0"/>
        </c:dLbls>
        <c:axId val="1466272384"/>
        <c:axId val="1466273344"/>
      </c:scatterChart>
      <c:valAx>
        <c:axId val="1466272384"/>
        <c:scaling>
          <c:orientation val="minMax"/>
          <c:max val="1"/>
        </c:scaling>
        <c:delete val="0"/>
        <c:axPos val="b"/>
        <c:majorGridlines>
          <c:spPr>
            <a:ln w="9525" cap="flat" cmpd="sng" algn="ctr">
              <a:solidFill>
                <a:srgbClr val="F5F5F5"/>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75000"/>
                        <a:lumOff val="25000"/>
                      </a:schemeClr>
                    </a:solidFill>
                    <a:latin typeface="+mn-lt"/>
                    <a:ea typeface="+mn-ea"/>
                    <a:cs typeface="+mn-cs"/>
                  </a:defRPr>
                </a:pPr>
                <a:r>
                  <a:rPr lang="de-DE" sz="1100" b="1" i="0" u="none" strike="noStrike" kern="1200" baseline="0">
                    <a:solidFill>
                      <a:schemeClr val="tx1">
                        <a:lumMod val="75000"/>
                        <a:lumOff val="25000"/>
                      </a:schemeClr>
                    </a:solidFill>
                    <a:latin typeface="Aptos Narrow" panose="020B0004020202020204" pitchFamily="34" charset="0"/>
                  </a:rPr>
                  <a:t>φ</a:t>
                </a:r>
                <a:r>
                  <a:rPr lang="de-DE" sz="1100" b="1" i="0" u="none" strike="noStrike" kern="1200" baseline="-25000">
                    <a:solidFill>
                      <a:schemeClr val="tx1">
                        <a:lumMod val="75000"/>
                        <a:lumOff val="25000"/>
                      </a:schemeClr>
                    </a:solidFill>
                    <a:latin typeface="Aptos Narrow" panose="020B0004020202020204" pitchFamily="34" charset="0"/>
                  </a:rPr>
                  <a:t>VOL,D</a:t>
                </a:r>
              </a:p>
            </c:rich>
          </c:tx>
          <c:layout>
            <c:manualLayout>
              <c:xMode val="edge"/>
              <c:yMode val="edge"/>
              <c:x val="0.50754855643044605"/>
              <c:y val="0.8873067949839603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mn-lt"/>
                  <a:ea typeface="+mn-ea"/>
                  <a:cs typeface="+mn-cs"/>
                </a:defRPr>
              </a:pPr>
              <a:endParaRPr lang="de-DE"/>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crossAx val="1466273344"/>
        <c:crosses val="autoZero"/>
        <c:crossBetween val="midCat"/>
      </c:valAx>
      <c:valAx>
        <c:axId val="1466273344"/>
        <c:scaling>
          <c:orientation val="minMax"/>
          <c:max val="1"/>
        </c:scaling>
        <c:delete val="0"/>
        <c:axPos val="l"/>
        <c:majorGridlines>
          <c:spPr>
            <a:ln w="9525" cap="flat" cmpd="sng" algn="ctr">
              <a:solidFill>
                <a:srgbClr val="F5F5F5"/>
              </a:solidFill>
              <a:round/>
            </a:ln>
            <a:effectLst/>
          </c:spPr>
        </c:majorGridlines>
        <c:title>
          <c:tx>
            <c:rich>
              <a:bodyPr rot="-5400000" spcFirstLastPara="1" vertOverflow="ellipsis" vert="horz" wrap="square" anchor="ctr" anchorCtr="1"/>
              <a:lstStyle/>
              <a:p>
                <a:pPr>
                  <a:defRPr sz="1100" b="1" i="0" u="none" strike="noStrike" kern="1200" baseline="0">
                    <a:solidFill>
                      <a:schemeClr val="tx1">
                        <a:lumMod val="75000"/>
                        <a:lumOff val="25000"/>
                      </a:schemeClr>
                    </a:solidFill>
                    <a:latin typeface="Aptos Narrow" panose="020B0004020202020204" pitchFamily="34" charset="0"/>
                    <a:ea typeface="+mn-ea"/>
                    <a:cs typeface="+mn-cs"/>
                  </a:defRPr>
                </a:pPr>
                <a:r>
                  <a:rPr lang="de-DE" sz="1100" b="1">
                    <a:solidFill>
                      <a:schemeClr val="tx1">
                        <a:lumMod val="75000"/>
                        <a:lumOff val="25000"/>
                      </a:schemeClr>
                    </a:solidFill>
                    <a:latin typeface="Aptos Narrow" panose="020B0004020202020204" pitchFamily="34" charset="0"/>
                  </a:rPr>
                  <a:t>φ</a:t>
                </a:r>
                <a:r>
                  <a:rPr lang="de-DE" sz="1100" b="1" baseline="-25000">
                    <a:solidFill>
                      <a:schemeClr val="tx1">
                        <a:lumMod val="75000"/>
                        <a:lumOff val="25000"/>
                      </a:schemeClr>
                    </a:solidFill>
                    <a:latin typeface="Aptos Narrow" panose="020B0004020202020204" pitchFamily="34" charset="0"/>
                  </a:rPr>
                  <a:t>GRAV,D</a:t>
                </a:r>
              </a:p>
            </c:rich>
          </c:tx>
          <c:layout>
            <c:manualLayout>
              <c:xMode val="edge"/>
              <c:yMode val="edge"/>
              <c:x val="1.6666666666666666E-2"/>
              <c:y val="0.3535583052118485"/>
            </c:manualLayout>
          </c:layout>
          <c:overlay val="0"/>
          <c:spPr>
            <a:noFill/>
            <a:ln>
              <a:noFill/>
            </a:ln>
            <a:effectLst/>
          </c:spPr>
          <c:txPr>
            <a:bodyPr rot="-5400000" spcFirstLastPara="1" vertOverflow="ellipsis" vert="horz" wrap="square" anchor="ctr" anchorCtr="1"/>
            <a:lstStyle/>
            <a:p>
              <a:pPr>
                <a:defRPr sz="1100" b="1"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title>
        <c:numFmt formatCode="0%" sourceLinked="1"/>
        <c:majorTickMark val="none"/>
        <c:minorTickMark val="none"/>
        <c:tickLblPos val="nextTo"/>
        <c:spPr>
          <a:noFill/>
          <a:ln w="9525" cap="flat" cmpd="sng" algn="ctr">
            <a:solidFill>
              <a:schemeClr val="bg2">
                <a:lumMod val="50000"/>
              </a:schemeClr>
            </a:solidFill>
            <a:round/>
          </a:ln>
          <a:effectLst/>
        </c:spPr>
        <c:txPr>
          <a:bodyPr rot="-60000000" spcFirstLastPara="1" vertOverflow="ellipsis" vert="horz" wrap="square" anchor="ctr" anchorCtr="1"/>
          <a:lstStyle/>
          <a:p>
            <a:pPr>
              <a:defRPr sz="1000" b="0"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crossAx val="1466272384"/>
        <c:crosses val="autoZero"/>
        <c:crossBetween val="midCat"/>
      </c:valAx>
      <c:spPr>
        <a:noFill/>
        <a:ln>
          <a:noFill/>
        </a:ln>
        <a:effectLst/>
      </c:spPr>
    </c:plotArea>
    <c:legend>
      <c:legendPos val="b"/>
      <c:layout>
        <c:manualLayout>
          <c:xMode val="edge"/>
          <c:yMode val="edge"/>
          <c:x val="0.74864838158693414"/>
          <c:y val="0.54173636082148602"/>
          <c:w val="0.21000568678915138"/>
          <c:h val="0.216165427238261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FBFBFB"/>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hyperlink" Target="#Content!A1"/><Relationship Id="rId2" Type="http://schemas.openxmlformats.org/officeDocument/2006/relationships/image" Target="../media/image1.png"/><Relationship Id="rId1" Type="http://schemas.openxmlformats.org/officeDocument/2006/relationships/image" Target="../media/image8.png"/><Relationship Id="rId6" Type="http://schemas.openxmlformats.org/officeDocument/2006/relationships/image" Target="../media/image11.png"/><Relationship Id="rId5" Type="http://schemas.openxmlformats.org/officeDocument/2006/relationships/image" Target="../media/image10.svg"/><Relationship Id="rId4" Type="http://schemas.openxmlformats.org/officeDocument/2006/relationships/image" Target="../media/image9.png"/></Relationships>
</file>

<file path=xl/drawings/_rels/drawing3.xml.rels><?xml version="1.0" encoding="UTF-8" standalone="yes"?>
<Relationships xmlns="http://schemas.openxmlformats.org/package/2006/relationships"><Relationship Id="rId3" Type="http://schemas.openxmlformats.org/officeDocument/2006/relationships/hyperlink" Target="#Content!A1"/><Relationship Id="rId2" Type="http://schemas.openxmlformats.org/officeDocument/2006/relationships/image" Target="../media/image1.png"/><Relationship Id="rId1" Type="http://schemas.openxmlformats.org/officeDocument/2006/relationships/chart" Target="../charts/chart1.xml"/><Relationship Id="rId5" Type="http://schemas.openxmlformats.org/officeDocument/2006/relationships/image" Target="../media/image10.svg"/><Relationship Id="rId4" Type="http://schemas.openxmlformats.org/officeDocument/2006/relationships/image" Target="../media/image9.png"/></Relationships>
</file>

<file path=xl/drawings/_rels/drawing4.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hyperlink" Target="#Content!A1"/><Relationship Id="rId1" Type="http://schemas.openxmlformats.org/officeDocument/2006/relationships/image" Target="../media/image1.png"/><Relationship Id="rId4" Type="http://schemas.openxmlformats.org/officeDocument/2006/relationships/image" Target="../media/image10.svg"/></Relationships>
</file>

<file path=xl/drawings/_rels/drawing5.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2</xdr:col>
      <xdr:colOff>6841665</xdr:colOff>
      <xdr:row>0</xdr:row>
      <xdr:rowOff>128877</xdr:rowOff>
    </xdr:from>
    <xdr:to>
      <xdr:col>2</xdr:col>
      <xdr:colOff>7919563</xdr:colOff>
      <xdr:row>2</xdr:row>
      <xdr:rowOff>138057</xdr:rowOff>
    </xdr:to>
    <xdr:pic>
      <xdr:nvPicPr>
        <xdr:cNvPr id="3" name="Grafik 2">
          <a:extLst>
            <a:ext uri="{FF2B5EF4-FFF2-40B4-BE49-F238E27FC236}">
              <a16:creationId xmlns:a16="http://schemas.microsoft.com/office/drawing/2014/main" id="{8DC7A012-8D61-4F40-A9DF-1460C972896D}"/>
            </a:ext>
          </a:extLst>
        </xdr:cNvPr>
        <xdr:cNvPicPr>
          <a:picLocks noChangeAspect="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8975265" y="128877"/>
          <a:ext cx="1077898" cy="466380"/>
        </a:xfrm>
        <a:prstGeom prst="rect">
          <a:avLst/>
        </a:prstGeom>
      </xdr:spPr>
    </xdr:pic>
    <xdr:clientData/>
  </xdr:twoCellAnchor>
  <xdr:twoCellAnchor editAs="oneCell">
    <xdr:from>
      <xdr:col>0</xdr:col>
      <xdr:colOff>69960</xdr:colOff>
      <xdr:row>7</xdr:row>
      <xdr:rowOff>87332</xdr:rowOff>
    </xdr:from>
    <xdr:to>
      <xdr:col>0</xdr:col>
      <xdr:colOff>550985</xdr:colOff>
      <xdr:row>9</xdr:row>
      <xdr:rowOff>24557</xdr:rowOff>
    </xdr:to>
    <xdr:pic>
      <xdr:nvPicPr>
        <xdr:cNvPr id="20" name="Grafik 19" descr="Einstellungen mit einfarbiger Füllung">
          <a:extLst>
            <a:ext uri="{FF2B5EF4-FFF2-40B4-BE49-F238E27FC236}">
              <a16:creationId xmlns:a16="http://schemas.microsoft.com/office/drawing/2014/main" id="{B6DFA412-1B61-A604-EE09-670C02A116C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69960" y="2015778"/>
          <a:ext cx="481025" cy="476487"/>
        </a:xfrm>
        <a:prstGeom prst="rect">
          <a:avLst/>
        </a:prstGeom>
      </xdr:spPr>
    </xdr:pic>
    <xdr:clientData/>
  </xdr:twoCellAnchor>
  <xdr:twoCellAnchor editAs="oneCell">
    <xdr:from>
      <xdr:col>0</xdr:col>
      <xdr:colOff>67791</xdr:colOff>
      <xdr:row>4</xdr:row>
      <xdr:rowOff>68298</xdr:rowOff>
    </xdr:from>
    <xdr:to>
      <xdr:col>0</xdr:col>
      <xdr:colOff>535791</xdr:colOff>
      <xdr:row>6</xdr:row>
      <xdr:rowOff>26344</xdr:rowOff>
    </xdr:to>
    <xdr:pic>
      <xdr:nvPicPr>
        <xdr:cNvPr id="22" name="Grafik 21" descr="Übertragen mit einfarbiger Füllung">
          <a:extLst>
            <a:ext uri="{FF2B5EF4-FFF2-40B4-BE49-F238E27FC236}">
              <a16:creationId xmlns:a16="http://schemas.microsoft.com/office/drawing/2014/main" id="{54EB2E9A-633D-04D0-CF98-C87450A047D1}"/>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67791" y="935806"/>
          <a:ext cx="468000" cy="468000"/>
        </a:xfrm>
        <a:prstGeom prst="rect">
          <a:avLst/>
        </a:prstGeom>
      </xdr:spPr>
    </xdr:pic>
    <xdr:clientData/>
  </xdr:twoCellAnchor>
  <xdr:twoCellAnchor editAs="oneCell">
    <xdr:from>
      <xdr:col>0</xdr:col>
      <xdr:colOff>105510</xdr:colOff>
      <xdr:row>13</xdr:row>
      <xdr:rowOff>11723</xdr:rowOff>
    </xdr:from>
    <xdr:to>
      <xdr:col>0</xdr:col>
      <xdr:colOff>501510</xdr:colOff>
      <xdr:row>13</xdr:row>
      <xdr:rowOff>407723</xdr:rowOff>
    </xdr:to>
    <xdr:pic>
      <xdr:nvPicPr>
        <xdr:cNvPr id="4" name="Grafik 3" descr="Pflanze mit Wurzeln mit einfarbiger Füllung">
          <a:extLst>
            <a:ext uri="{FF2B5EF4-FFF2-40B4-BE49-F238E27FC236}">
              <a16:creationId xmlns:a16="http://schemas.microsoft.com/office/drawing/2014/main" id="{DB4B7C21-74FA-2CEE-7555-2BB7AFA8B767}"/>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105510" y="3587261"/>
          <a:ext cx="396000" cy="396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518160</xdr:colOff>
      <xdr:row>16</xdr:row>
      <xdr:rowOff>5864</xdr:rowOff>
    </xdr:from>
    <xdr:to>
      <xdr:col>12</xdr:col>
      <xdr:colOff>30185</xdr:colOff>
      <xdr:row>26</xdr:row>
      <xdr:rowOff>35326</xdr:rowOff>
    </xdr:to>
    <xdr:pic>
      <xdr:nvPicPr>
        <xdr:cNvPr id="22" name="Grafik 21">
          <a:extLst>
            <a:ext uri="{FF2B5EF4-FFF2-40B4-BE49-F238E27FC236}">
              <a16:creationId xmlns:a16="http://schemas.microsoft.com/office/drawing/2014/main" id="{E461A859-154F-DC93-8862-6787AE79486C}"/>
            </a:ext>
          </a:extLst>
        </xdr:cNvPr>
        <xdr:cNvPicPr>
          <a:picLocks noChangeAspect="1"/>
        </xdr:cNvPicPr>
      </xdr:nvPicPr>
      <xdr:blipFill>
        <a:blip xmlns:r="http://schemas.openxmlformats.org/officeDocument/2006/relationships" r:embed="rId1"/>
        <a:stretch>
          <a:fillRect/>
        </a:stretch>
      </xdr:blipFill>
      <xdr:spPr>
        <a:xfrm>
          <a:off x="3566160" y="3259018"/>
          <a:ext cx="3626825" cy="2315462"/>
        </a:xfrm>
        <a:prstGeom prst="rect">
          <a:avLst/>
        </a:prstGeom>
      </xdr:spPr>
    </xdr:pic>
    <xdr:clientData/>
  </xdr:twoCellAnchor>
  <xdr:twoCellAnchor>
    <xdr:from>
      <xdr:col>3</xdr:col>
      <xdr:colOff>145774</xdr:colOff>
      <xdr:row>10</xdr:row>
      <xdr:rowOff>30227</xdr:rowOff>
    </xdr:from>
    <xdr:to>
      <xdr:col>3</xdr:col>
      <xdr:colOff>439908</xdr:colOff>
      <xdr:row>14</xdr:row>
      <xdr:rowOff>225292</xdr:rowOff>
    </xdr:to>
    <xdr:sp macro="" textlink="">
      <xdr:nvSpPr>
        <xdr:cNvPr id="8" name="Gleichschenkliges Dreieck 7">
          <a:extLst>
            <a:ext uri="{FF2B5EF4-FFF2-40B4-BE49-F238E27FC236}">
              <a16:creationId xmlns:a16="http://schemas.microsoft.com/office/drawing/2014/main" id="{FD298906-41B3-32F5-D27D-E2A19E92EBE3}"/>
            </a:ext>
          </a:extLst>
        </xdr:cNvPr>
        <xdr:cNvSpPr/>
      </xdr:nvSpPr>
      <xdr:spPr>
        <a:xfrm rot="5400000">
          <a:off x="1374752" y="2644380"/>
          <a:ext cx="1122717" cy="294134"/>
        </a:xfrm>
        <a:prstGeom prst="triangle">
          <a:avLst/>
        </a:prstGeom>
        <a:solidFill>
          <a:schemeClr val="bg2">
            <a:lumMod val="75000"/>
          </a:schemeClr>
        </a:solidFill>
        <a:ln>
          <a:solidFill>
            <a:schemeClr val="tx1">
              <a:lumMod val="75000"/>
              <a:lumOff val="2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13</xdr:col>
      <xdr:colOff>182427</xdr:colOff>
      <xdr:row>17</xdr:row>
      <xdr:rowOff>9596</xdr:rowOff>
    </xdr:from>
    <xdr:to>
      <xdr:col>16</xdr:col>
      <xdr:colOff>521678</xdr:colOff>
      <xdr:row>26</xdr:row>
      <xdr:rowOff>112203</xdr:rowOff>
    </xdr:to>
    <xdr:grpSp>
      <xdr:nvGrpSpPr>
        <xdr:cNvPr id="18" name="Gruppieren 17">
          <a:extLst>
            <a:ext uri="{FF2B5EF4-FFF2-40B4-BE49-F238E27FC236}">
              <a16:creationId xmlns:a16="http://schemas.microsoft.com/office/drawing/2014/main" id="{A57CBA06-2385-4804-5BD9-EAA4FF9F7B61}"/>
            </a:ext>
          </a:extLst>
        </xdr:cNvPr>
        <xdr:cNvGrpSpPr/>
      </xdr:nvGrpSpPr>
      <xdr:grpSpPr>
        <a:xfrm>
          <a:off x="7503489" y="3467904"/>
          <a:ext cx="2168051" cy="2160007"/>
          <a:chOff x="9865689" y="2128540"/>
          <a:chExt cx="2168051" cy="2160007"/>
        </a:xfrm>
      </xdr:grpSpPr>
      <mc:AlternateContent xmlns:mc="http://schemas.openxmlformats.org/markup-compatibility/2006" xmlns:a14="http://schemas.microsoft.com/office/drawing/2010/main">
        <mc:Choice Requires="a14">
          <xdr:sp macro="" textlink="">
            <xdr:nvSpPr>
              <xdr:cNvPr id="15" name="Textfeld 14">
                <a:extLst>
                  <a:ext uri="{FF2B5EF4-FFF2-40B4-BE49-F238E27FC236}">
                    <a16:creationId xmlns:a16="http://schemas.microsoft.com/office/drawing/2014/main" id="{0A892798-2CE9-16B0-6050-8C6352FCAAE2}"/>
                  </a:ext>
                </a:extLst>
              </xdr:cNvPr>
              <xdr:cNvSpPr txBox="1"/>
            </xdr:nvSpPr>
            <xdr:spPr>
              <a:xfrm>
                <a:off x="9865690" y="2646194"/>
                <a:ext cx="2168050" cy="446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left"/>
                    </m:oMathParaPr>
                    <m:oMath xmlns:m="http://schemas.openxmlformats.org/officeDocument/2006/math">
                      <m:sSub>
                        <m:sSubPr>
                          <m:ctrlPr>
                            <a:rPr lang="de-DE" sz="900" b="0" i="1">
                              <a:solidFill>
                                <a:schemeClr val="bg2">
                                  <a:lumMod val="75000"/>
                                </a:schemeClr>
                              </a:solidFill>
                              <a:latin typeface="Cambria Math" panose="02040503050406030204" pitchFamily="18" charset="0"/>
                              <a:ea typeface="Cambria Math" panose="02040503050406030204" pitchFamily="18" charset="0"/>
                            </a:rPr>
                          </m:ctrlPr>
                        </m:sSubPr>
                        <m:e>
                          <m:r>
                            <a:rPr lang="de-DE" sz="900" i="1">
                              <a:solidFill>
                                <a:schemeClr val="bg2">
                                  <a:lumMod val="75000"/>
                                </a:schemeClr>
                              </a:solidFill>
                              <a:latin typeface="Cambria Math" panose="02040503050406030204" pitchFamily="18" charset="0"/>
                              <a:ea typeface="Cambria Math" panose="02040503050406030204" pitchFamily="18" charset="0"/>
                            </a:rPr>
                            <m:t>𝜙</m:t>
                          </m:r>
                        </m:e>
                        <m:sub>
                          <m:r>
                            <a:rPr lang="de-DE" sz="900" b="0" i="1">
                              <a:solidFill>
                                <a:schemeClr val="bg2">
                                  <a:lumMod val="75000"/>
                                </a:schemeClr>
                              </a:solidFill>
                              <a:latin typeface="Cambria Math" panose="02040503050406030204" pitchFamily="18" charset="0"/>
                              <a:ea typeface="Cambria Math" panose="02040503050406030204" pitchFamily="18" charset="0"/>
                            </a:rPr>
                            <m:t>𝑉𝑂𝐿</m:t>
                          </m:r>
                        </m:sub>
                      </m:sSub>
                      <m:r>
                        <a:rPr lang="de-DE" sz="900" b="0" i="1">
                          <a:solidFill>
                            <a:schemeClr val="bg2">
                              <a:lumMod val="75000"/>
                            </a:schemeClr>
                          </a:solidFill>
                          <a:latin typeface="Cambria Math" panose="02040503050406030204" pitchFamily="18" charset="0"/>
                          <a:ea typeface="Cambria Math" panose="02040503050406030204" pitchFamily="18" charset="0"/>
                        </a:rPr>
                        <m:t>=</m:t>
                      </m:r>
                      <m:f>
                        <m:fPr>
                          <m:ctrlPr>
                            <a:rPr lang="de-DE" sz="900" b="0" i="1">
                              <a:solidFill>
                                <a:schemeClr val="bg2">
                                  <a:lumMod val="75000"/>
                                </a:schemeClr>
                              </a:solidFill>
                              <a:latin typeface="Cambria Math" panose="02040503050406030204" pitchFamily="18" charset="0"/>
                              <a:ea typeface="Cambria Math" panose="02040503050406030204" pitchFamily="18" charset="0"/>
                            </a:rPr>
                          </m:ctrlPr>
                        </m:fPr>
                        <m:num>
                          <m:sSub>
                            <m:sSubPr>
                              <m:ctrlPr>
                                <a:rPr lang="de-DE" sz="900" b="0" i="1">
                                  <a:solidFill>
                                    <a:schemeClr val="bg2">
                                      <a:lumMod val="75000"/>
                                    </a:schemeClr>
                                  </a:solidFill>
                                  <a:latin typeface="Cambria Math" panose="02040503050406030204" pitchFamily="18" charset="0"/>
                                  <a:ea typeface="Cambria Math" panose="02040503050406030204" pitchFamily="18" charset="0"/>
                                </a:rPr>
                              </m:ctrlPr>
                            </m:sSubPr>
                            <m:e>
                              <m:r>
                                <a:rPr lang="de-DE" sz="900" b="0" i="1">
                                  <a:solidFill>
                                    <a:schemeClr val="bg2">
                                      <a:lumMod val="75000"/>
                                    </a:schemeClr>
                                  </a:solidFill>
                                  <a:latin typeface="Cambria Math" panose="02040503050406030204" pitchFamily="18" charset="0"/>
                                  <a:ea typeface="Cambria Math" panose="02040503050406030204" pitchFamily="18" charset="0"/>
                                </a:rPr>
                                <m:t>𝜙</m:t>
                              </m:r>
                            </m:e>
                            <m:sub>
                              <m:r>
                                <a:rPr lang="de-DE" sz="900" b="0" i="1">
                                  <a:solidFill>
                                    <a:schemeClr val="bg2">
                                      <a:lumMod val="75000"/>
                                    </a:schemeClr>
                                  </a:solidFill>
                                  <a:latin typeface="Cambria Math" panose="02040503050406030204" pitchFamily="18" charset="0"/>
                                  <a:ea typeface="Cambria Math" panose="02040503050406030204" pitchFamily="18" charset="0"/>
                                </a:rPr>
                                <m:t>𝐺𝑅𝐴𝑉</m:t>
                              </m:r>
                            </m:sub>
                          </m:sSub>
                          <m:sSub>
                            <m:sSubPr>
                              <m:ctrlPr>
                                <a:rPr lang="de-DE" sz="900" b="0" i="1">
                                  <a:solidFill>
                                    <a:schemeClr val="bg2">
                                      <a:lumMod val="75000"/>
                                    </a:schemeClr>
                                  </a:solidFill>
                                  <a:latin typeface="Cambria Math" panose="02040503050406030204" pitchFamily="18" charset="0"/>
                                  <a:ea typeface="Cambria Math" panose="02040503050406030204" pitchFamily="18" charset="0"/>
                                </a:rPr>
                              </m:ctrlPr>
                            </m:sSubPr>
                            <m:e>
                              <m:r>
                                <a:rPr lang="de-DE" sz="900" b="0" i="1">
                                  <a:solidFill>
                                    <a:schemeClr val="bg2">
                                      <a:lumMod val="75000"/>
                                    </a:schemeClr>
                                  </a:solidFill>
                                  <a:latin typeface="Cambria Math" panose="02040503050406030204" pitchFamily="18" charset="0"/>
                                  <a:ea typeface="Cambria Math" panose="02040503050406030204" pitchFamily="18" charset="0"/>
                                </a:rPr>
                                <m:t>∙</m:t>
                              </m:r>
                              <m:r>
                                <a:rPr lang="de-DE" sz="900" b="0" i="1">
                                  <a:solidFill>
                                    <a:schemeClr val="bg2">
                                      <a:lumMod val="75000"/>
                                    </a:schemeClr>
                                  </a:solidFill>
                                  <a:latin typeface="Cambria Math" panose="02040503050406030204" pitchFamily="18" charset="0"/>
                                  <a:ea typeface="Cambria Math" panose="02040503050406030204" pitchFamily="18" charset="0"/>
                                </a:rPr>
                                <m:t>𝜌</m:t>
                              </m:r>
                            </m:e>
                            <m:sub>
                              <m:r>
                                <a:rPr lang="de-DE" sz="900" b="0" i="1">
                                  <a:solidFill>
                                    <a:schemeClr val="bg2">
                                      <a:lumMod val="75000"/>
                                    </a:schemeClr>
                                  </a:solidFill>
                                  <a:latin typeface="Cambria Math" panose="02040503050406030204" pitchFamily="18" charset="0"/>
                                  <a:ea typeface="Cambria Math" panose="02040503050406030204" pitchFamily="18" charset="0"/>
                                </a:rPr>
                                <m:t>𝑀𝐴𝑇</m:t>
                              </m:r>
                            </m:sub>
                          </m:sSub>
                        </m:num>
                        <m:den>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𝜙</m:t>
                              </m:r>
                            </m:e>
                            <m:sub>
                              <m:r>
                                <a:rPr lang="de-DE" sz="900" b="0" i="1">
                                  <a:solidFill>
                                    <a:schemeClr val="bg2">
                                      <a:lumMod val="75000"/>
                                    </a:schemeClr>
                                  </a:solidFill>
                                  <a:effectLst/>
                                  <a:latin typeface="Cambria Math" panose="02040503050406030204" pitchFamily="18" charset="0"/>
                                  <a:ea typeface="+mn-ea"/>
                                  <a:cs typeface="+mn-cs"/>
                                </a:rPr>
                                <m:t>𝐺𝑅𝐴𝑉</m:t>
                              </m:r>
                            </m:sub>
                          </m:sSub>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m:t>
                              </m:r>
                              <m:r>
                                <a:rPr lang="de-DE" sz="900" b="0" i="1">
                                  <a:solidFill>
                                    <a:schemeClr val="bg2">
                                      <a:lumMod val="75000"/>
                                    </a:schemeClr>
                                  </a:solidFill>
                                  <a:effectLst/>
                                  <a:latin typeface="Cambria Math" panose="02040503050406030204" pitchFamily="18" charset="0"/>
                                  <a:ea typeface="+mn-ea"/>
                                  <a:cs typeface="+mn-cs"/>
                                </a:rPr>
                                <m:t>𝜌</m:t>
                              </m:r>
                            </m:e>
                            <m:sub>
                              <m:r>
                                <a:rPr lang="de-DE" sz="900" b="0" i="1">
                                  <a:solidFill>
                                    <a:schemeClr val="bg2">
                                      <a:lumMod val="75000"/>
                                    </a:schemeClr>
                                  </a:solidFill>
                                  <a:effectLst/>
                                  <a:latin typeface="Cambria Math" panose="02040503050406030204" pitchFamily="18" charset="0"/>
                                  <a:ea typeface="+mn-ea"/>
                                  <a:cs typeface="+mn-cs"/>
                                </a:rPr>
                                <m:t>𝑀𝐴𝑇</m:t>
                              </m:r>
                            </m:sub>
                          </m:sSub>
                          <m:r>
                            <a:rPr lang="de-DE" sz="900" b="0" i="1">
                              <a:solidFill>
                                <a:schemeClr val="bg2">
                                  <a:lumMod val="75000"/>
                                </a:schemeClr>
                              </a:solidFill>
                              <a:effectLst/>
                              <a:latin typeface="Cambria Math" panose="02040503050406030204" pitchFamily="18" charset="0"/>
                              <a:ea typeface="+mn-ea"/>
                              <a:cs typeface="+mn-cs"/>
                            </a:rPr>
                            <m:t>+ (1−</m:t>
                          </m:r>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𝜙</m:t>
                              </m:r>
                            </m:e>
                            <m:sub>
                              <m:r>
                                <a:rPr lang="de-DE" sz="900" b="0" i="1">
                                  <a:solidFill>
                                    <a:schemeClr val="bg2">
                                      <a:lumMod val="75000"/>
                                    </a:schemeClr>
                                  </a:solidFill>
                                  <a:effectLst/>
                                  <a:latin typeface="Cambria Math" panose="02040503050406030204" pitchFamily="18" charset="0"/>
                                  <a:ea typeface="+mn-ea"/>
                                  <a:cs typeface="+mn-cs"/>
                                </a:rPr>
                                <m:t>𝐺𝑅𝐴𝑉</m:t>
                              </m:r>
                            </m:sub>
                          </m:sSub>
                          <m:r>
                            <a:rPr lang="de-DE" sz="900" b="0" i="1">
                              <a:solidFill>
                                <a:schemeClr val="bg2">
                                  <a:lumMod val="75000"/>
                                </a:schemeClr>
                              </a:solidFill>
                              <a:effectLst/>
                              <a:latin typeface="Cambria Math" panose="02040503050406030204" pitchFamily="18" charset="0"/>
                              <a:ea typeface="+mn-ea"/>
                              <a:cs typeface="+mn-cs"/>
                            </a:rPr>
                            <m:t>)</m:t>
                          </m:r>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m:t>
                              </m:r>
                              <m:r>
                                <a:rPr lang="de-DE" sz="900" b="0" i="1">
                                  <a:solidFill>
                                    <a:schemeClr val="bg2">
                                      <a:lumMod val="75000"/>
                                    </a:schemeClr>
                                  </a:solidFill>
                                  <a:effectLst/>
                                  <a:latin typeface="Cambria Math" panose="02040503050406030204" pitchFamily="18" charset="0"/>
                                  <a:ea typeface="+mn-ea"/>
                                  <a:cs typeface="+mn-cs"/>
                                </a:rPr>
                                <m:t>𝜌</m:t>
                              </m:r>
                            </m:e>
                            <m:sub>
                              <m:r>
                                <a:rPr lang="de-DE" sz="900" b="0" i="1">
                                  <a:solidFill>
                                    <a:schemeClr val="bg2">
                                      <a:lumMod val="75000"/>
                                    </a:schemeClr>
                                  </a:solidFill>
                                  <a:effectLst/>
                                  <a:latin typeface="Cambria Math" panose="02040503050406030204" pitchFamily="18" charset="0"/>
                                  <a:ea typeface="+mn-ea"/>
                                  <a:cs typeface="+mn-cs"/>
                                </a:rPr>
                                <m:t>𝑊</m:t>
                              </m:r>
                            </m:sub>
                          </m:sSub>
                        </m:den>
                      </m:f>
                    </m:oMath>
                  </m:oMathPara>
                </a14:m>
                <a:endParaRPr lang="de-DE" sz="900">
                  <a:solidFill>
                    <a:schemeClr val="bg2">
                      <a:lumMod val="75000"/>
                    </a:schemeClr>
                  </a:solidFill>
                  <a:latin typeface="Aptos Narrow" panose="020B0004020202020204" pitchFamily="34" charset="0"/>
                </a:endParaRPr>
              </a:p>
            </xdr:txBody>
          </xdr:sp>
        </mc:Choice>
        <mc:Fallback xmlns="">
          <xdr:sp macro="" textlink="">
            <xdr:nvSpPr>
              <xdr:cNvPr id="15" name="Textfeld 14">
                <a:extLst>
                  <a:ext uri="{FF2B5EF4-FFF2-40B4-BE49-F238E27FC236}">
                    <a16:creationId xmlns:a16="http://schemas.microsoft.com/office/drawing/2014/main" id="{0A892798-2CE9-16B0-6050-8C6352FCAAE2}"/>
                  </a:ext>
                </a:extLst>
              </xdr:cNvPr>
              <xdr:cNvSpPr txBox="1"/>
            </xdr:nvSpPr>
            <xdr:spPr>
              <a:xfrm>
                <a:off x="9865690" y="2646194"/>
                <a:ext cx="2168050" cy="446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900" i="0">
                    <a:solidFill>
                      <a:schemeClr val="bg2">
                        <a:lumMod val="75000"/>
                      </a:schemeClr>
                    </a:solidFill>
                    <a:latin typeface="Cambria Math" panose="02040503050406030204" pitchFamily="18" charset="0"/>
                    <a:ea typeface="Cambria Math" panose="02040503050406030204" pitchFamily="18" charset="0"/>
                  </a:rPr>
                  <a:t>𝜙</a:t>
                </a:r>
                <a:r>
                  <a:rPr lang="de-DE" sz="900" b="0" i="0">
                    <a:solidFill>
                      <a:schemeClr val="bg2">
                        <a:lumMod val="75000"/>
                      </a:schemeClr>
                    </a:solidFill>
                    <a:latin typeface="Cambria Math" panose="02040503050406030204" pitchFamily="18" charset="0"/>
                    <a:ea typeface="Cambria Math" panose="02040503050406030204" pitchFamily="18" charset="0"/>
                  </a:rPr>
                  <a:t>_𝑉𝑂𝐿=(𝜙_𝐺𝑅𝐴𝑉 〖∙𝜌〗_𝑀𝐴𝑇)/(</a:t>
                </a:r>
                <a:r>
                  <a:rPr lang="de-DE" sz="900" b="0" i="0">
                    <a:solidFill>
                      <a:schemeClr val="bg2">
                        <a:lumMod val="75000"/>
                      </a:schemeClr>
                    </a:solidFill>
                    <a:effectLst/>
                    <a:latin typeface="Cambria Math" panose="02040503050406030204" pitchFamily="18" charset="0"/>
                    <a:ea typeface="+mn-ea"/>
                    <a:cs typeface="+mn-cs"/>
                  </a:rPr>
                  <a:t>𝜙_𝐺𝑅𝐴𝑉 〖∙𝜌〗_𝑀𝐴𝑇+ (1−𝜙_𝐺𝑅𝐴𝑉)〖∙𝜌〗_𝑊 </a:t>
                </a:r>
                <a:r>
                  <a:rPr lang="de-DE" sz="900" b="0" i="0">
                    <a:solidFill>
                      <a:schemeClr val="bg2">
                        <a:lumMod val="75000"/>
                      </a:schemeClr>
                    </a:solidFill>
                    <a:effectLst/>
                    <a:latin typeface="Cambria Math" panose="02040503050406030204" pitchFamily="18" charset="0"/>
                    <a:ea typeface="Cambria Math" panose="02040503050406030204" pitchFamily="18" charset="0"/>
                    <a:cs typeface="+mn-cs"/>
                  </a:rPr>
                  <a:t>)</a:t>
                </a:r>
                <a:endParaRPr lang="de-DE" sz="900">
                  <a:solidFill>
                    <a:schemeClr val="bg2">
                      <a:lumMod val="75000"/>
                    </a:schemeClr>
                  </a:solidFill>
                  <a:latin typeface="Aptos Narrow" panose="020B0004020202020204" pitchFamily="34" charset="0"/>
                </a:endParaRPr>
              </a:p>
            </xdr:txBody>
          </xdr:sp>
        </mc:Fallback>
      </mc:AlternateContent>
      <mc:AlternateContent xmlns:mc="http://schemas.openxmlformats.org/markup-compatibility/2006" xmlns:a14="http://schemas.microsoft.com/office/drawing/2010/main">
        <mc:Choice Requires="a14">
          <xdr:sp macro="" textlink="">
            <xdr:nvSpPr>
              <xdr:cNvPr id="17" name="Textfeld 16">
                <a:extLst>
                  <a:ext uri="{FF2B5EF4-FFF2-40B4-BE49-F238E27FC236}">
                    <a16:creationId xmlns:a16="http://schemas.microsoft.com/office/drawing/2014/main" id="{B91558C4-19CF-47B3-B8B1-281CEF5FC512}"/>
                  </a:ext>
                </a:extLst>
              </xdr:cNvPr>
              <xdr:cNvSpPr txBox="1"/>
            </xdr:nvSpPr>
            <xdr:spPr>
              <a:xfrm>
                <a:off x="9865690" y="2128540"/>
                <a:ext cx="2091850" cy="445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left"/>
                    </m:oMathParaPr>
                    <m:oMath xmlns:m="http://schemas.openxmlformats.org/officeDocument/2006/math">
                      <m:sSub>
                        <m:sSubPr>
                          <m:ctrlPr>
                            <a:rPr lang="de-DE" sz="900" b="0" i="1">
                              <a:solidFill>
                                <a:schemeClr val="bg2">
                                  <a:lumMod val="75000"/>
                                </a:schemeClr>
                              </a:solidFill>
                              <a:latin typeface="Cambria Math" panose="02040503050406030204" pitchFamily="18" charset="0"/>
                              <a:ea typeface="Cambria Math" panose="02040503050406030204" pitchFamily="18" charset="0"/>
                            </a:rPr>
                          </m:ctrlPr>
                        </m:sSubPr>
                        <m:e>
                          <m:r>
                            <a:rPr lang="de-DE" sz="900" i="1">
                              <a:solidFill>
                                <a:schemeClr val="bg2">
                                  <a:lumMod val="75000"/>
                                </a:schemeClr>
                              </a:solidFill>
                              <a:latin typeface="Cambria Math" panose="02040503050406030204" pitchFamily="18" charset="0"/>
                              <a:ea typeface="Cambria Math" panose="02040503050406030204" pitchFamily="18" charset="0"/>
                            </a:rPr>
                            <m:t>𝜙</m:t>
                          </m:r>
                        </m:e>
                        <m:sub>
                          <m:r>
                            <a:rPr lang="de-DE" sz="900" b="0" i="1">
                              <a:solidFill>
                                <a:schemeClr val="bg2">
                                  <a:lumMod val="75000"/>
                                </a:schemeClr>
                              </a:solidFill>
                              <a:latin typeface="Cambria Math" panose="02040503050406030204" pitchFamily="18" charset="0"/>
                              <a:ea typeface="Cambria Math" panose="02040503050406030204" pitchFamily="18" charset="0"/>
                            </a:rPr>
                            <m:t>𝐺𝑅𝐴𝑉</m:t>
                          </m:r>
                        </m:sub>
                      </m:sSub>
                      <m:r>
                        <a:rPr lang="de-DE" sz="900" b="0" i="1">
                          <a:solidFill>
                            <a:schemeClr val="bg2">
                              <a:lumMod val="75000"/>
                            </a:schemeClr>
                          </a:solidFill>
                          <a:latin typeface="Cambria Math" panose="02040503050406030204" pitchFamily="18" charset="0"/>
                          <a:ea typeface="Cambria Math" panose="02040503050406030204" pitchFamily="18" charset="0"/>
                        </a:rPr>
                        <m:t>=</m:t>
                      </m:r>
                      <m:f>
                        <m:fPr>
                          <m:ctrlPr>
                            <a:rPr lang="de-DE" sz="900" b="0" i="1">
                              <a:solidFill>
                                <a:schemeClr val="bg2">
                                  <a:lumMod val="75000"/>
                                </a:schemeClr>
                              </a:solidFill>
                              <a:latin typeface="Cambria Math" panose="02040503050406030204" pitchFamily="18" charset="0"/>
                              <a:ea typeface="Cambria Math" panose="02040503050406030204" pitchFamily="18" charset="0"/>
                            </a:rPr>
                          </m:ctrlPr>
                        </m:fPr>
                        <m:num>
                          <m:sSub>
                            <m:sSubPr>
                              <m:ctrlPr>
                                <a:rPr lang="de-DE" sz="900" b="0" i="1">
                                  <a:solidFill>
                                    <a:schemeClr val="bg2">
                                      <a:lumMod val="75000"/>
                                    </a:schemeClr>
                                  </a:solidFill>
                                  <a:latin typeface="Cambria Math" panose="02040503050406030204" pitchFamily="18" charset="0"/>
                                  <a:ea typeface="Cambria Math" panose="02040503050406030204" pitchFamily="18" charset="0"/>
                                </a:rPr>
                              </m:ctrlPr>
                            </m:sSubPr>
                            <m:e>
                              <m:r>
                                <a:rPr lang="de-DE" sz="900" b="0" i="1">
                                  <a:solidFill>
                                    <a:schemeClr val="bg2">
                                      <a:lumMod val="75000"/>
                                    </a:schemeClr>
                                  </a:solidFill>
                                  <a:latin typeface="Cambria Math" panose="02040503050406030204" pitchFamily="18" charset="0"/>
                                  <a:ea typeface="Cambria Math" panose="02040503050406030204" pitchFamily="18" charset="0"/>
                                </a:rPr>
                                <m:t>𝜙</m:t>
                              </m:r>
                            </m:e>
                            <m:sub>
                              <m:r>
                                <a:rPr lang="de-DE" sz="900" b="0" i="1">
                                  <a:solidFill>
                                    <a:schemeClr val="bg2">
                                      <a:lumMod val="75000"/>
                                    </a:schemeClr>
                                  </a:solidFill>
                                  <a:latin typeface="Cambria Math" panose="02040503050406030204" pitchFamily="18" charset="0"/>
                                  <a:ea typeface="Cambria Math" panose="02040503050406030204" pitchFamily="18" charset="0"/>
                                </a:rPr>
                                <m:t>𝑉𝑂𝐿</m:t>
                              </m:r>
                            </m:sub>
                          </m:sSub>
                          <m:sSub>
                            <m:sSubPr>
                              <m:ctrlPr>
                                <a:rPr lang="de-DE" sz="900" b="0" i="1">
                                  <a:solidFill>
                                    <a:schemeClr val="bg2">
                                      <a:lumMod val="75000"/>
                                    </a:schemeClr>
                                  </a:solidFill>
                                  <a:latin typeface="Cambria Math" panose="02040503050406030204" pitchFamily="18" charset="0"/>
                                  <a:ea typeface="Cambria Math" panose="02040503050406030204" pitchFamily="18" charset="0"/>
                                </a:rPr>
                              </m:ctrlPr>
                            </m:sSubPr>
                            <m:e>
                              <m:r>
                                <a:rPr lang="de-DE" sz="900" b="0" i="1">
                                  <a:solidFill>
                                    <a:schemeClr val="bg2">
                                      <a:lumMod val="75000"/>
                                    </a:schemeClr>
                                  </a:solidFill>
                                  <a:latin typeface="Cambria Math" panose="02040503050406030204" pitchFamily="18" charset="0"/>
                                  <a:ea typeface="Cambria Math" panose="02040503050406030204" pitchFamily="18" charset="0"/>
                                </a:rPr>
                                <m:t>∙</m:t>
                              </m:r>
                              <m:r>
                                <a:rPr lang="de-DE" sz="900" b="0" i="1">
                                  <a:solidFill>
                                    <a:schemeClr val="bg2">
                                      <a:lumMod val="75000"/>
                                    </a:schemeClr>
                                  </a:solidFill>
                                  <a:latin typeface="Cambria Math" panose="02040503050406030204" pitchFamily="18" charset="0"/>
                                  <a:ea typeface="Cambria Math" panose="02040503050406030204" pitchFamily="18" charset="0"/>
                                </a:rPr>
                                <m:t>𝜌</m:t>
                              </m:r>
                            </m:e>
                            <m:sub>
                              <m:r>
                                <a:rPr lang="de-DE" sz="900" b="0" i="1">
                                  <a:solidFill>
                                    <a:schemeClr val="bg2">
                                      <a:lumMod val="75000"/>
                                    </a:schemeClr>
                                  </a:solidFill>
                                  <a:latin typeface="Cambria Math" panose="02040503050406030204" pitchFamily="18" charset="0"/>
                                  <a:ea typeface="Cambria Math" panose="02040503050406030204" pitchFamily="18" charset="0"/>
                                </a:rPr>
                                <m:t>𝑊</m:t>
                              </m:r>
                            </m:sub>
                          </m:sSub>
                        </m:num>
                        <m:den>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𝜙</m:t>
                              </m:r>
                            </m:e>
                            <m:sub>
                              <m:r>
                                <a:rPr lang="de-DE" sz="900" b="0" i="1">
                                  <a:solidFill>
                                    <a:schemeClr val="bg2">
                                      <a:lumMod val="75000"/>
                                    </a:schemeClr>
                                  </a:solidFill>
                                  <a:effectLst/>
                                  <a:latin typeface="Cambria Math" panose="02040503050406030204" pitchFamily="18" charset="0"/>
                                  <a:ea typeface="+mn-ea"/>
                                  <a:cs typeface="+mn-cs"/>
                                </a:rPr>
                                <m:t>𝑉𝑂𝐿</m:t>
                              </m:r>
                            </m:sub>
                          </m:sSub>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m:t>
                              </m:r>
                              <m:r>
                                <a:rPr lang="de-DE" sz="900" b="0" i="1">
                                  <a:solidFill>
                                    <a:schemeClr val="bg2">
                                      <a:lumMod val="75000"/>
                                    </a:schemeClr>
                                  </a:solidFill>
                                  <a:effectLst/>
                                  <a:latin typeface="Cambria Math" panose="02040503050406030204" pitchFamily="18" charset="0"/>
                                  <a:ea typeface="+mn-ea"/>
                                  <a:cs typeface="+mn-cs"/>
                                </a:rPr>
                                <m:t>𝜌</m:t>
                              </m:r>
                            </m:e>
                            <m:sub>
                              <m:r>
                                <a:rPr lang="de-DE" sz="900" b="0" i="1">
                                  <a:solidFill>
                                    <a:schemeClr val="bg2">
                                      <a:lumMod val="75000"/>
                                    </a:schemeClr>
                                  </a:solidFill>
                                  <a:effectLst/>
                                  <a:latin typeface="Cambria Math" panose="02040503050406030204" pitchFamily="18" charset="0"/>
                                  <a:ea typeface="+mn-ea"/>
                                  <a:cs typeface="+mn-cs"/>
                                </a:rPr>
                                <m:t>𝑊</m:t>
                              </m:r>
                            </m:sub>
                          </m:sSub>
                          <m:r>
                            <a:rPr lang="de-DE" sz="900" b="0" i="1">
                              <a:solidFill>
                                <a:schemeClr val="bg2">
                                  <a:lumMod val="75000"/>
                                </a:schemeClr>
                              </a:solidFill>
                              <a:effectLst/>
                              <a:latin typeface="Cambria Math" panose="02040503050406030204" pitchFamily="18" charset="0"/>
                              <a:ea typeface="+mn-ea"/>
                              <a:cs typeface="+mn-cs"/>
                            </a:rPr>
                            <m:t>+ (1−</m:t>
                          </m:r>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𝜙</m:t>
                              </m:r>
                            </m:e>
                            <m:sub>
                              <m:r>
                                <a:rPr lang="de-DE" sz="900" b="0" i="1">
                                  <a:solidFill>
                                    <a:schemeClr val="bg2">
                                      <a:lumMod val="75000"/>
                                    </a:schemeClr>
                                  </a:solidFill>
                                  <a:effectLst/>
                                  <a:latin typeface="Cambria Math" panose="02040503050406030204" pitchFamily="18" charset="0"/>
                                  <a:ea typeface="+mn-ea"/>
                                  <a:cs typeface="+mn-cs"/>
                                </a:rPr>
                                <m:t>𝑉𝑂𝐿</m:t>
                              </m:r>
                            </m:sub>
                          </m:sSub>
                          <m:r>
                            <a:rPr lang="de-DE" sz="900" b="0" i="1">
                              <a:solidFill>
                                <a:schemeClr val="bg2">
                                  <a:lumMod val="75000"/>
                                </a:schemeClr>
                              </a:solidFill>
                              <a:effectLst/>
                              <a:latin typeface="Cambria Math" panose="02040503050406030204" pitchFamily="18" charset="0"/>
                              <a:ea typeface="+mn-ea"/>
                              <a:cs typeface="+mn-cs"/>
                            </a:rPr>
                            <m:t>)</m:t>
                          </m:r>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m:t>
                              </m:r>
                              <m:r>
                                <a:rPr lang="de-DE" sz="900" b="0" i="1">
                                  <a:solidFill>
                                    <a:schemeClr val="bg2">
                                      <a:lumMod val="75000"/>
                                    </a:schemeClr>
                                  </a:solidFill>
                                  <a:effectLst/>
                                  <a:latin typeface="Cambria Math" panose="02040503050406030204" pitchFamily="18" charset="0"/>
                                  <a:ea typeface="+mn-ea"/>
                                  <a:cs typeface="+mn-cs"/>
                                </a:rPr>
                                <m:t>𝜌</m:t>
                              </m:r>
                            </m:e>
                            <m:sub>
                              <m:r>
                                <a:rPr lang="de-DE" sz="900" b="0" i="1">
                                  <a:solidFill>
                                    <a:schemeClr val="bg2">
                                      <a:lumMod val="75000"/>
                                    </a:schemeClr>
                                  </a:solidFill>
                                  <a:effectLst/>
                                  <a:latin typeface="Cambria Math" panose="02040503050406030204" pitchFamily="18" charset="0"/>
                                  <a:ea typeface="+mn-ea"/>
                                  <a:cs typeface="+mn-cs"/>
                                </a:rPr>
                                <m:t>𝑀𝐴𝑇</m:t>
                              </m:r>
                            </m:sub>
                          </m:sSub>
                        </m:den>
                      </m:f>
                    </m:oMath>
                  </m:oMathPara>
                </a14:m>
                <a:endParaRPr lang="de-DE" sz="900">
                  <a:solidFill>
                    <a:schemeClr val="bg2">
                      <a:lumMod val="75000"/>
                    </a:schemeClr>
                  </a:solidFill>
                  <a:latin typeface="Aptos Narrow" panose="020B0004020202020204" pitchFamily="34" charset="0"/>
                </a:endParaRPr>
              </a:p>
            </xdr:txBody>
          </xdr:sp>
        </mc:Choice>
        <mc:Fallback xmlns="">
          <xdr:sp macro="" textlink="">
            <xdr:nvSpPr>
              <xdr:cNvPr id="17" name="Textfeld 16">
                <a:extLst>
                  <a:ext uri="{FF2B5EF4-FFF2-40B4-BE49-F238E27FC236}">
                    <a16:creationId xmlns:a16="http://schemas.microsoft.com/office/drawing/2014/main" id="{B91558C4-19CF-47B3-B8B1-281CEF5FC512}"/>
                  </a:ext>
                </a:extLst>
              </xdr:cNvPr>
              <xdr:cNvSpPr txBox="1"/>
            </xdr:nvSpPr>
            <xdr:spPr>
              <a:xfrm>
                <a:off x="9865690" y="2128540"/>
                <a:ext cx="2091850" cy="445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900" i="0">
                    <a:solidFill>
                      <a:schemeClr val="bg2">
                        <a:lumMod val="75000"/>
                      </a:schemeClr>
                    </a:solidFill>
                    <a:latin typeface="Cambria Math" panose="02040503050406030204" pitchFamily="18" charset="0"/>
                    <a:ea typeface="Cambria Math" panose="02040503050406030204" pitchFamily="18" charset="0"/>
                  </a:rPr>
                  <a:t>𝜙</a:t>
                </a:r>
                <a:r>
                  <a:rPr lang="de-DE" sz="900" b="0" i="0">
                    <a:solidFill>
                      <a:schemeClr val="bg2">
                        <a:lumMod val="75000"/>
                      </a:schemeClr>
                    </a:solidFill>
                    <a:latin typeface="Cambria Math" panose="02040503050406030204" pitchFamily="18" charset="0"/>
                    <a:ea typeface="Cambria Math" panose="02040503050406030204" pitchFamily="18" charset="0"/>
                  </a:rPr>
                  <a:t>_𝐺𝑅𝐴𝑉=(𝜙_𝑉𝑂𝐿 〖∙𝜌〗_𝑊)/(</a:t>
                </a:r>
                <a:r>
                  <a:rPr lang="de-DE" sz="900" b="0" i="0">
                    <a:solidFill>
                      <a:schemeClr val="bg2">
                        <a:lumMod val="75000"/>
                      </a:schemeClr>
                    </a:solidFill>
                    <a:effectLst/>
                    <a:latin typeface="Cambria Math" panose="02040503050406030204" pitchFamily="18" charset="0"/>
                    <a:ea typeface="+mn-ea"/>
                    <a:cs typeface="+mn-cs"/>
                  </a:rPr>
                  <a:t>𝜙_𝑉𝑂𝐿 〖∙𝜌〗_𝑊+ (1−𝜙_𝑉𝑂𝐿)〖∙𝜌〗_𝑀𝐴𝑇 </a:t>
                </a:r>
                <a:r>
                  <a:rPr lang="de-DE" sz="900" b="0" i="0">
                    <a:solidFill>
                      <a:schemeClr val="bg2">
                        <a:lumMod val="75000"/>
                      </a:schemeClr>
                    </a:solidFill>
                    <a:effectLst/>
                    <a:latin typeface="Cambria Math" panose="02040503050406030204" pitchFamily="18" charset="0"/>
                    <a:ea typeface="Cambria Math" panose="02040503050406030204" pitchFamily="18" charset="0"/>
                    <a:cs typeface="+mn-cs"/>
                  </a:rPr>
                  <a:t>)</a:t>
                </a:r>
                <a:endParaRPr lang="de-DE" sz="900">
                  <a:solidFill>
                    <a:schemeClr val="bg2">
                      <a:lumMod val="75000"/>
                    </a:schemeClr>
                  </a:solidFill>
                  <a:latin typeface="Aptos Narrow" panose="020B0004020202020204" pitchFamily="34" charset="0"/>
                </a:endParaRPr>
              </a:p>
            </xdr:txBody>
          </xdr:sp>
        </mc:Fallback>
      </mc:AlternateContent>
      <xdr:grpSp>
        <xdr:nvGrpSpPr>
          <xdr:cNvPr id="16" name="Gruppieren 15">
            <a:extLst>
              <a:ext uri="{FF2B5EF4-FFF2-40B4-BE49-F238E27FC236}">
                <a16:creationId xmlns:a16="http://schemas.microsoft.com/office/drawing/2014/main" id="{407EE51B-FAFF-C376-F03F-EB9FF4B46869}"/>
              </a:ext>
            </a:extLst>
          </xdr:cNvPr>
          <xdr:cNvGrpSpPr/>
        </xdr:nvGrpSpPr>
        <xdr:grpSpPr>
          <a:xfrm>
            <a:off x="9865689" y="3324880"/>
            <a:ext cx="1556690" cy="963667"/>
            <a:chOff x="12410771" y="2128540"/>
            <a:chExt cx="1556690" cy="963667"/>
          </a:xfrm>
        </xdr:grpSpPr>
        <mc:AlternateContent xmlns:mc="http://schemas.openxmlformats.org/markup-compatibility/2006" xmlns:a14="http://schemas.microsoft.com/office/drawing/2010/main">
          <mc:Choice Requires="a14">
            <xdr:sp macro="" textlink="">
              <xdr:nvSpPr>
                <xdr:cNvPr id="4" name="Textfeld 3">
                  <a:extLst>
                    <a:ext uri="{FF2B5EF4-FFF2-40B4-BE49-F238E27FC236}">
                      <a16:creationId xmlns:a16="http://schemas.microsoft.com/office/drawing/2014/main" id="{0E0F34F6-C73B-F451-0BA2-EDFFB8DEB5BB}"/>
                    </a:ext>
                  </a:extLst>
                </xdr:cNvPr>
                <xdr:cNvSpPr txBox="1"/>
              </xdr:nvSpPr>
              <xdr:spPr>
                <a:xfrm>
                  <a:off x="12410771" y="2646194"/>
                  <a:ext cx="1556690" cy="446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left"/>
                      </m:oMathParaPr>
                      <m:oMath xmlns:m="http://schemas.openxmlformats.org/officeDocument/2006/math">
                        <m:sSub>
                          <m:sSubPr>
                            <m:ctrlPr>
                              <a:rPr lang="de-DE" sz="900" b="0" i="1">
                                <a:solidFill>
                                  <a:schemeClr val="bg2">
                                    <a:lumMod val="75000"/>
                                  </a:schemeClr>
                                </a:solidFill>
                                <a:latin typeface="Cambria Math" panose="02040503050406030204" pitchFamily="18" charset="0"/>
                                <a:ea typeface="Cambria Math" panose="02040503050406030204" pitchFamily="18" charset="0"/>
                              </a:rPr>
                            </m:ctrlPr>
                          </m:sSubPr>
                          <m:e>
                            <m:r>
                              <a:rPr lang="de-DE" sz="900" i="1">
                                <a:solidFill>
                                  <a:schemeClr val="bg2">
                                    <a:lumMod val="75000"/>
                                  </a:schemeClr>
                                </a:solidFill>
                                <a:latin typeface="Cambria Math" panose="02040503050406030204" pitchFamily="18" charset="0"/>
                                <a:ea typeface="Cambria Math" panose="02040503050406030204" pitchFamily="18" charset="0"/>
                              </a:rPr>
                              <m:t>𝜙</m:t>
                            </m:r>
                          </m:e>
                          <m:sub>
                            <m:r>
                              <a:rPr lang="de-DE" sz="900" b="0" i="1">
                                <a:solidFill>
                                  <a:schemeClr val="bg2">
                                    <a:lumMod val="75000"/>
                                  </a:schemeClr>
                                </a:solidFill>
                                <a:latin typeface="Cambria Math" panose="02040503050406030204" pitchFamily="18" charset="0"/>
                                <a:ea typeface="Cambria Math" panose="02040503050406030204" pitchFamily="18" charset="0"/>
                              </a:rPr>
                              <m:t>𝑉𝑂𝐿</m:t>
                            </m:r>
                            <m:r>
                              <a:rPr lang="de-DE" sz="900" b="0" i="1">
                                <a:solidFill>
                                  <a:schemeClr val="bg2">
                                    <a:lumMod val="75000"/>
                                  </a:schemeClr>
                                </a:solidFill>
                                <a:latin typeface="Cambria Math" panose="02040503050406030204" pitchFamily="18" charset="0"/>
                                <a:ea typeface="Cambria Math" panose="02040503050406030204" pitchFamily="18" charset="0"/>
                              </a:rPr>
                              <m:t>,</m:t>
                            </m:r>
                            <m:r>
                              <a:rPr lang="de-DE" sz="900" b="0" i="1">
                                <a:solidFill>
                                  <a:schemeClr val="bg2">
                                    <a:lumMod val="75000"/>
                                  </a:schemeClr>
                                </a:solidFill>
                                <a:latin typeface="Cambria Math" panose="02040503050406030204" pitchFamily="18" charset="0"/>
                                <a:ea typeface="Cambria Math" panose="02040503050406030204" pitchFamily="18" charset="0"/>
                              </a:rPr>
                              <m:t>𝐷</m:t>
                            </m:r>
                          </m:sub>
                        </m:sSub>
                        <m:r>
                          <a:rPr lang="de-DE" sz="900" b="0" i="1">
                            <a:solidFill>
                              <a:schemeClr val="bg2">
                                <a:lumMod val="75000"/>
                              </a:schemeClr>
                            </a:solidFill>
                            <a:latin typeface="Cambria Math" panose="02040503050406030204" pitchFamily="18" charset="0"/>
                            <a:ea typeface="Cambria Math" panose="02040503050406030204" pitchFamily="18" charset="0"/>
                          </a:rPr>
                          <m:t>=</m:t>
                        </m:r>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𝜙</m:t>
                            </m:r>
                          </m:e>
                          <m:sub>
                            <m:r>
                              <a:rPr lang="de-DE" sz="900" b="0" i="1">
                                <a:solidFill>
                                  <a:schemeClr val="bg2">
                                    <a:lumMod val="75000"/>
                                  </a:schemeClr>
                                </a:solidFill>
                                <a:effectLst/>
                                <a:latin typeface="Cambria Math" panose="02040503050406030204" pitchFamily="18" charset="0"/>
                                <a:ea typeface="+mn-ea"/>
                                <a:cs typeface="+mn-cs"/>
                              </a:rPr>
                              <m:t>𝐺𝑅𝐴𝑉</m:t>
                            </m:r>
                            <m:r>
                              <a:rPr lang="de-DE" sz="900" b="0" i="1">
                                <a:solidFill>
                                  <a:schemeClr val="bg2">
                                    <a:lumMod val="75000"/>
                                  </a:schemeClr>
                                </a:solidFill>
                                <a:effectLst/>
                                <a:latin typeface="Cambria Math" panose="02040503050406030204" pitchFamily="18" charset="0"/>
                                <a:ea typeface="+mn-ea"/>
                                <a:cs typeface="+mn-cs"/>
                              </a:rPr>
                              <m:t>,</m:t>
                            </m:r>
                            <m:r>
                              <a:rPr lang="de-DE" sz="900" b="0" i="1">
                                <a:solidFill>
                                  <a:schemeClr val="bg2">
                                    <a:lumMod val="75000"/>
                                  </a:schemeClr>
                                </a:solidFill>
                                <a:effectLst/>
                                <a:latin typeface="Cambria Math" panose="02040503050406030204" pitchFamily="18" charset="0"/>
                                <a:ea typeface="+mn-ea"/>
                                <a:cs typeface="+mn-cs"/>
                              </a:rPr>
                              <m:t>𝐷</m:t>
                            </m:r>
                          </m:sub>
                        </m:sSub>
                        <m:r>
                          <a:rPr lang="de-DE" sz="900" b="0" i="1">
                            <a:solidFill>
                              <a:schemeClr val="bg2">
                                <a:lumMod val="75000"/>
                              </a:schemeClr>
                            </a:solidFill>
                            <a:effectLst/>
                            <a:latin typeface="Cambria Math" panose="02040503050406030204" pitchFamily="18" charset="0"/>
                            <a:ea typeface="+mn-ea"/>
                            <a:cs typeface="+mn-cs"/>
                          </a:rPr>
                          <m:t>∙</m:t>
                        </m:r>
                        <m:f>
                          <m:fPr>
                            <m:ctrlPr>
                              <a:rPr lang="de-DE" sz="900" b="0" i="1">
                                <a:solidFill>
                                  <a:schemeClr val="bg2">
                                    <a:lumMod val="75000"/>
                                  </a:schemeClr>
                                </a:solidFill>
                                <a:effectLst/>
                                <a:latin typeface="Cambria Math" panose="02040503050406030204" pitchFamily="18" charset="0"/>
                                <a:ea typeface="+mn-ea"/>
                                <a:cs typeface="+mn-cs"/>
                              </a:rPr>
                            </m:ctrlPr>
                          </m:fPr>
                          <m:num>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𝜌</m:t>
                                </m:r>
                              </m:e>
                              <m:sub>
                                <m:r>
                                  <a:rPr lang="de-DE" sz="900" b="0" i="1">
                                    <a:solidFill>
                                      <a:schemeClr val="bg2">
                                        <a:lumMod val="75000"/>
                                      </a:schemeClr>
                                    </a:solidFill>
                                    <a:effectLst/>
                                    <a:latin typeface="Cambria Math" panose="02040503050406030204" pitchFamily="18" charset="0"/>
                                    <a:ea typeface="+mn-ea"/>
                                    <a:cs typeface="+mn-cs"/>
                                  </a:rPr>
                                  <m:t>𝑀𝐴𝑇</m:t>
                                </m:r>
                              </m:sub>
                            </m:sSub>
                          </m:num>
                          <m:den>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𝜌</m:t>
                                </m:r>
                              </m:e>
                              <m:sub>
                                <m:r>
                                  <a:rPr lang="de-DE" sz="900" b="0" i="1">
                                    <a:solidFill>
                                      <a:schemeClr val="bg2">
                                        <a:lumMod val="75000"/>
                                      </a:schemeClr>
                                    </a:solidFill>
                                    <a:effectLst/>
                                    <a:latin typeface="Cambria Math" panose="02040503050406030204" pitchFamily="18" charset="0"/>
                                    <a:ea typeface="+mn-ea"/>
                                    <a:cs typeface="+mn-cs"/>
                                  </a:rPr>
                                  <m:t>𝑊</m:t>
                                </m:r>
                              </m:sub>
                            </m:sSub>
                          </m:den>
                        </m:f>
                      </m:oMath>
                    </m:oMathPara>
                  </a14:m>
                  <a:endParaRPr lang="de-DE" sz="900">
                    <a:solidFill>
                      <a:schemeClr val="bg2">
                        <a:lumMod val="75000"/>
                      </a:schemeClr>
                    </a:solidFill>
                    <a:latin typeface="Aptos Narrow" panose="020B0004020202020204" pitchFamily="34" charset="0"/>
                  </a:endParaRPr>
                </a:p>
              </xdr:txBody>
            </xdr:sp>
          </mc:Choice>
          <mc:Fallback xmlns="">
            <xdr:sp macro="" textlink="">
              <xdr:nvSpPr>
                <xdr:cNvPr id="4" name="Textfeld 3">
                  <a:extLst>
                    <a:ext uri="{FF2B5EF4-FFF2-40B4-BE49-F238E27FC236}">
                      <a16:creationId xmlns:a16="http://schemas.microsoft.com/office/drawing/2014/main" id="{0E0F34F6-C73B-F451-0BA2-EDFFB8DEB5BB}"/>
                    </a:ext>
                  </a:extLst>
                </xdr:cNvPr>
                <xdr:cNvSpPr txBox="1"/>
              </xdr:nvSpPr>
              <xdr:spPr>
                <a:xfrm>
                  <a:off x="12410771" y="2646194"/>
                  <a:ext cx="1556690" cy="446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900" i="0">
                      <a:solidFill>
                        <a:schemeClr val="bg2">
                          <a:lumMod val="75000"/>
                        </a:schemeClr>
                      </a:solidFill>
                      <a:latin typeface="Cambria Math" panose="02040503050406030204" pitchFamily="18" charset="0"/>
                      <a:ea typeface="Cambria Math" panose="02040503050406030204" pitchFamily="18" charset="0"/>
                    </a:rPr>
                    <a:t>𝜙</a:t>
                  </a:r>
                  <a:r>
                    <a:rPr lang="de-DE" sz="900" b="0" i="0">
                      <a:solidFill>
                        <a:schemeClr val="bg2">
                          <a:lumMod val="75000"/>
                        </a:schemeClr>
                      </a:solidFill>
                      <a:latin typeface="Cambria Math" panose="02040503050406030204" pitchFamily="18" charset="0"/>
                      <a:ea typeface="Cambria Math" panose="02040503050406030204" pitchFamily="18" charset="0"/>
                    </a:rPr>
                    <a:t>_(𝑉𝑂𝐿,𝐷)=</a:t>
                  </a:r>
                  <a:r>
                    <a:rPr lang="de-DE" sz="900" b="0" i="0">
                      <a:solidFill>
                        <a:schemeClr val="bg2">
                          <a:lumMod val="75000"/>
                        </a:schemeClr>
                      </a:solidFill>
                      <a:effectLst/>
                      <a:latin typeface="+mn-lt"/>
                      <a:ea typeface="+mn-ea"/>
                      <a:cs typeface="+mn-cs"/>
                    </a:rPr>
                    <a:t>𝜙_(</a:t>
                  </a:r>
                  <a:r>
                    <a:rPr lang="de-DE" sz="900" b="0" i="0">
                      <a:solidFill>
                        <a:schemeClr val="bg2">
                          <a:lumMod val="75000"/>
                        </a:schemeClr>
                      </a:solidFill>
                      <a:effectLst/>
                      <a:latin typeface="Cambria Math" panose="02040503050406030204" pitchFamily="18" charset="0"/>
                      <a:ea typeface="+mn-ea"/>
                      <a:cs typeface="+mn-cs"/>
                    </a:rPr>
                    <a:t>𝐺𝑅𝐴𝑉</a:t>
                  </a:r>
                  <a:r>
                    <a:rPr lang="de-DE" sz="900" b="0" i="0">
                      <a:solidFill>
                        <a:schemeClr val="bg2">
                          <a:lumMod val="75000"/>
                        </a:schemeClr>
                      </a:solidFill>
                      <a:effectLst/>
                      <a:latin typeface="+mn-lt"/>
                      <a:ea typeface="+mn-ea"/>
                      <a:cs typeface="+mn-cs"/>
                    </a:rPr>
                    <a:t>,𝐷)∙𝜌_</a:t>
                  </a:r>
                  <a:r>
                    <a:rPr lang="de-DE" sz="900" b="0" i="0">
                      <a:solidFill>
                        <a:schemeClr val="bg2">
                          <a:lumMod val="75000"/>
                        </a:schemeClr>
                      </a:solidFill>
                      <a:effectLst/>
                      <a:latin typeface="Cambria Math" panose="02040503050406030204" pitchFamily="18" charset="0"/>
                      <a:ea typeface="+mn-ea"/>
                      <a:cs typeface="+mn-cs"/>
                    </a:rPr>
                    <a:t>𝑀𝐴𝑇</a:t>
                  </a:r>
                  <a:r>
                    <a:rPr lang="de-DE" sz="900" b="0" i="0">
                      <a:solidFill>
                        <a:schemeClr val="bg2">
                          <a:lumMod val="75000"/>
                        </a:schemeClr>
                      </a:solidFill>
                      <a:effectLst/>
                      <a:latin typeface="+mn-lt"/>
                      <a:ea typeface="+mn-ea"/>
                      <a:cs typeface="+mn-cs"/>
                    </a:rPr>
                    <a:t>/𝜌_</a:t>
                  </a:r>
                  <a:r>
                    <a:rPr lang="de-DE" sz="900" b="0" i="0">
                      <a:solidFill>
                        <a:schemeClr val="bg2">
                          <a:lumMod val="75000"/>
                        </a:schemeClr>
                      </a:solidFill>
                      <a:effectLst/>
                      <a:latin typeface="Cambria Math" panose="02040503050406030204" pitchFamily="18" charset="0"/>
                      <a:ea typeface="+mn-ea"/>
                      <a:cs typeface="+mn-cs"/>
                    </a:rPr>
                    <a:t>𝑊</a:t>
                  </a:r>
                  <a:r>
                    <a:rPr lang="de-DE" sz="900" b="0" i="0">
                      <a:solidFill>
                        <a:schemeClr val="bg2">
                          <a:lumMod val="75000"/>
                        </a:schemeClr>
                      </a:solidFill>
                      <a:effectLst/>
                      <a:latin typeface="+mn-lt"/>
                      <a:ea typeface="+mn-ea"/>
                      <a:cs typeface="+mn-cs"/>
                    </a:rPr>
                    <a:t> </a:t>
                  </a:r>
                  <a:endParaRPr lang="de-DE" sz="900">
                    <a:solidFill>
                      <a:schemeClr val="bg2">
                        <a:lumMod val="75000"/>
                      </a:schemeClr>
                    </a:solidFill>
                    <a:latin typeface="Aptos Narrow" panose="020B0004020202020204" pitchFamily="34" charset="0"/>
                  </a:endParaRPr>
                </a:p>
              </xdr:txBody>
            </xdr:sp>
          </mc:Fallback>
        </mc:AlternateContent>
        <mc:AlternateContent xmlns:mc="http://schemas.openxmlformats.org/markup-compatibility/2006" xmlns:a14="http://schemas.microsoft.com/office/drawing/2010/main">
          <mc:Choice Requires="a14">
            <xdr:sp macro="" textlink="">
              <xdr:nvSpPr>
                <xdr:cNvPr id="9" name="Textfeld 8">
                  <a:extLst>
                    <a:ext uri="{FF2B5EF4-FFF2-40B4-BE49-F238E27FC236}">
                      <a16:creationId xmlns:a16="http://schemas.microsoft.com/office/drawing/2014/main" id="{AE39774F-35F3-4D6E-A16A-7F6FBF82CC18}"/>
                    </a:ext>
                  </a:extLst>
                </xdr:cNvPr>
                <xdr:cNvSpPr txBox="1"/>
              </xdr:nvSpPr>
              <xdr:spPr>
                <a:xfrm>
                  <a:off x="12425895" y="2128540"/>
                  <a:ext cx="1442505" cy="445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left"/>
                      </m:oMathParaPr>
                      <m:oMath xmlns:m="http://schemas.openxmlformats.org/officeDocument/2006/math">
                        <m:sSub>
                          <m:sSubPr>
                            <m:ctrlPr>
                              <a:rPr lang="de-DE" sz="900" b="0" i="1">
                                <a:solidFill>
                                  <a:schemeClr val="bg2">
                                    <a:lumMod val="75000"/>
                                  </a:schemeClr>
                                </a:solidFill>
                                <a:latin typeface="Cambria Math" panose="02040503050406030204" pitchFamily="18" charset="0"/>
                                <a:ea typeface="Cambria Math" panose="02040503050406030204" pitchFamily="18" charset="0"/>
                              </a:rPr>
                            </m:ctrlPr>
                          </m:sSubPr>
                          <m:e>
                            <m:r>
                              <a:rPr lang="de-DE" sz="900" i="1">
                                <a:solidFill>
                                  <a:schemeClr val="bg2">
                                    <a:lumMod val="75000"/>
                                  </a:schemeClr>
                                </a:solidFill>
                                <a:latin typeface="Cambria Math" panose="02040503050406030204" pitchFamily="18" charset="0"/>
                                <a:ea typeface="Cambria Math" panose="02040503050406030204" pitchFamily="18" charset="0"/>
                              </a:rPr>
                              <m:t>𝜙</m:t>
                            </m:r>
                          </m:e>
                          <m:sub>
                            <m:r>
                              <a:rPr lang="de-DE" sz="900" b="0" i="1">
                                <a:solidFill>
                                  <a:schemeClr val="bg2">
                                    <a:lumMod val="75000"/>
                                  </a:schemeClr>
                                </a:solidFill>
                                <a:latin typeface="Cambria Math" panose="02040503050406030204" pitchFamily="18" charset="0"/>
                                <a:ea typeface="Cambria Math" panose="02040503050406030204" pitchFamily="18" charset="0"/>
                              </a:rPr>
                              <m:t>𝐺𝑅𝐴𝑉</m:t>
                            </m:r>
                            <m:r>
                              <a:rPr lang="de-DE" sz="900" b="0" i="1">
                                <a:solidFill>
                                  <a:schemeClr val="bg2">
                                    <a:lumMod val="75000"/>
                                  </a:schemeClr>
                                </a:solidFill>
                                <a:latin typeface="Cambria Math" panose="02040503050406030204" pitchFamily="18" charset="0"/>
                                <a:ea typeface="Cambria Math" panose="02040503050406030204" pitchFamily="18" charset="0"/>
                              </a:rPr>
                              <m:t>,</m:t>
                            </m:r>
                            <m:r>
                              <a:rPr lang="de-DE" sz="900" b="0" i="1">
                                <a:solidFill>
                                  <a:schemeClr val="bg2">
                                    <a:lumMod val="75000"/>
                                  </a:schemeClr>
                                </a:solidFill>
                                <a:latin typeface="Cambria Math" panose="02040503050406030204" pitchFamily="18" charset="0"/>
                                <a:ea typeface="Cambria Math" panose="02040503050406030204" pitchFamily="18" charset="0"/>
                              </a:rPr>
                              <m:t>𝐷</m:t>
                            </m:r>
                          </m:sub>
                        </m:sSub>
                        <m:r>
                          <a:rPr lang="de-DE" sz="900" b="0" i="1">
                            <a:solidFill>
                              <a:schemeClr val="bg2">
                                <a:lumMod val="75000"/>
                              </a:schemeClr>
                            </a:solidFill>
                            <a:latin typeface="Cambria Math" panose="02040503050406030204" pitchFamily="18" charset="0"/>
                            <a:ea typeface="Cambria Math" panose="02040503050406030204" pitchFamily="18" charset="0"/>
                          </a:rPr>
                          <m:t>=</m:t>
                        </m:r>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𝜙</m:t>
                            </m:r>
                          </m:e>
                          <m:sub>
                            <m:r>
                              <a:rPr lang="de-DE" sz="900" b="0" i="1">
                                <a:solidFill>
                                  <a:schemeClr val="bg2">
                                    <a:lumMod val="75000"/>
                                  </a:schemeClr>
                                </a:solidFill>
                                <a:effectLst/>
                                <a:latin typeface="Cambria Math" panose="02040503050406030204" pitchFamily="18" charset="0"/>
                                <a:ea typeface="+mn-ea"/>
                                <a:cs typeface="+mn-cs"/>
                              </a:rPr>
                              <m:t>𝑉𝑂𝐿</m:t>
                            </m:r>
                            <m:r>
                              <a:rPr lang="de-DE" sz="900" b="0" i="1">
                                <a:solidFill>
                                  <a:schemeClr val="bg2">
                                    <a:lumMod val="75000"/>
                                  </a:schemeClr>
                                </a:solidFill>
                                <a:effectLst/>
                                <a:latin typeface="Cambria Math" panose="02040503050406030204" pitchFamily="18" charset="0"/>
                                <a:ea typeface="+mn-ea"/>
                                <a:cs typeface="+mn-cs"/>
                              </a:rPr>
                              <m:t>,</m:t>
                            </m:r>
                            <m:r>
                              <a:rPr lang="de-DE" sz="900" b="0" i="1">
                                <a:solidFill>
                                  <a:schemeClr val="bg2">
                                    <a:lumMod val="75000"/>
                                  </a:schemeClr>
                                </a:solidFill>
                                <a:effectLst/>
                                <a:latin typeface="Cambria Math" panose="02040503050406030204" pitchFamily="18" charset="0"/>
                                <a:ea typeface="+mn-ea"/>
                                <a:cs typeface="+mn-cs"/>
                              </a:rPr>
                              <m:t>𝐷</m:t>
                            </m:r>
                          </m:sub>
                        </m:sSub>
                        <m:r>
                          <a:rPr lang="de-DE" sz="900" b="0" i="1">
                            <a:solidFill>
                              <a:schemeClr val="bg2">
                                <a:lumMod val="75000"/>
                              </a:schemeClr>
                            </a:solidFill>
                            <a:effectLst/>
                            <a:latin typeface="Cambria Math" panose="02040503050406030204" pitchFamily="18" charset="0"/>
                            <a:ea typeface="+mn-ea"/>
                            <a:cs typeface="+mn-cs"/>
                          </a:rPr>
                          <m:t>∙</m:t>
                        </m:r>
                        <m:f>
                          <m:fPr>
                            <m:ctrlPr>
                              <a:rPr lang="de-DE" sz="900" b="0" i="1">
                                <a:solidFill>
                                  <a:schemeClr val="bg2">
                                    <a:lumMod val="75000"/>
                                  </a:schemeClr>
                                </a:solidFill>
                                <a:effectLst/>
                                <a:latin typeface="Cambria Math" panose="02040503050406030204" pitchFamily="18" charset="0"/>
                                <a:ea typeface="+mn-ea"/>
                                <a:cs typeface="+mn-cs"/>
                              </a:rPr>
                            </m:ctrlPr>
                          </m:fPr>
                          <m:num>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𝜌</m:t>
                                </m:r>
                              </m:e>
                              <m:sub>
                                <m:r>
                                  <a:rPr lang="de-DE" sz="900" b="0" i="1">
                                    <a:solidFill>
                                      <a:schemeClr val="bg2">
                                        <a:lumMod val="75000"/>
                                      </a:schemeClr>
                                    </a:solidFill>
                                    <a:effectLst/>
                                    <a:latin typeface="Cambria Math" panose="02040503050406030204" pitchFamily="18" charset="0"/>
                                    <a:ea typeface="+mn-ea"/>
                                    <a:cs typeface="+mn-cs"/>
                                  </a:rPr>
                                  <m:t>𝑊</m:t>
                                </m:r>
                              </m:sub>
                            </m:sSub>
                          </m:num>
                          <m:den>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𝜌</m:t>
                                </m:r>
                              </m:e>
                              <m:sub>
                                <m:r>
                                  <a:rPr lang="de-DE" sz="900" b="0" i="1">
                                    <a:solidFill>
                                      <a:schemeClr val="bg2">
                                        <a:lumMod val="75000"/>
                                      </a:schemeClr>
                                    </a:solidFill>
                                    <a:effectLst/>
                                    <a:latin typeface="Cambria Math" panose="02040503050406030204" pitchFamily="18" charset="0"/>
                                    <a:ea typeface="+mn-ea"/>
                                    <a:cs typeface="+mn-cs"/>
                                  </a:rPr>
                                  <m:t>𝑀𝐴𝑇</m:t>
                                </m:r>
                              </m:sub>
                            </m:sSub>
                          </m:den>
                        </m:f>
                      </m:oMath>
                    </m:oMathPara>
                  </a14:m>
                  <a:endParaRPr lang="de-DE" sz="900">
                    <a:solidFill>
                      <a:schemeClr val="bg2">
                        <a:lumMod val="75000"/>
                      </a:schemeClr>
                    </a:solidFill>
                    <a:latin typeface="Aptos Narrow" panose="020B0004020202020204" pitchFamily="34" charset="0"/>
                  </a:endParaRPr>
                </a:p>
              </xdr:txBody>
            </xdr:sp>
          </mc:Choice>
          <mc:Fallback xmlns="">
            <xdr:sp macro="" textlink="">
              <xdr:nvSpPr>
                <xdr:cNvPr id="9" name="Textfeld 8">
                  <a:extLst>
                    <a:ext uri="{FF2B5EF4-FFF2-40B4-BE49-F238E27FC236}">
                      <a16:creationId xmlns:a16="http://schemas.microsoft.com/office/drawing/2014/main" id="{AE39774F-35F3-4D6E-A16A-7F6FBF82CC18}"/>
                    </a:ext>
                  </a:extLst>
                </xdr:cNvPr>
                <xdr:cNvSpPr txBox="1"/>
              </xdr:nvSpPr>
              <xdr:spPr>
                <a:xfrm>
                  <a:off x="12425895" y="2128540"/>
                  <a:ext cx="1442505" cy="445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900" i="0">
                      <a:solidFill>
                        <a:schemeClr val="bg2">
                          <a:lumMod val="75000"/>
                        </a:schemeClr>
                      </a:solidFill>
                      <a:latin typeface="Cambria Math" panose="02040503050406030204" pitchFamily="18" charset="0"/>
                      <a:ea typeface="Cambria Math" panose="02040503050406030204" pitchFamily="18" charset="0"/>
                    </a:rPr>
                    <a:t>𝜙</a:t>
                  </a:r>
                  <a:r>
                    <a:rPr lang="de-DE" sz="900" b="0" i="0">
                      <a:solidFill>
                        <a:schemeClr val="bg2">
                          <a:lumMod val="75000"/>
                        </a:schemeClr>
                      </a:solidFill>
                      <a:latin typeface="Cambria Math" panose="02040503050406030204" pitchFamily="18" charset="0"/>
                      <a:ea typeface="Cambria Math" panose="02040503050406030204" pitchFamily="18" charset="0"/>
                    </a:rPr>
                    <a:t>_(𝐺𝑅𝐴𝑉,𝐷)=</a:t>
                  </a:r>
                  <a:r>
                    <a:rPr lang="de-DE" sz="900" b="0" i="0">
                      <a:solidFill>
                        <a:schemeClr val="bg2">
                          <a:lumMod val="75000"/>
                        </a:schemeClr>
                      </a:solidFill>
                      <a:effectLst/>
                      <a:latin typeface="+mn-lt"/>
                      <a:ea typeface="+mn-ea"/>
                      <a:cs typeface="+mn-cs"/>
                    </a:rPr>
                    <a:t>𝜙_(𝑉𝑂𝐿,𝐷)∙𝜌_</a:t>
                  </a:r>
                  <a:r>
                    <a:rPr lang="de-DE" sz="900" b="0" i="0">
                      <a:solidFill>
                        <a:schemeClr val="bg2">
                          <a:lumMod val="75000"/>
                        </a:schemeClr>
                      </a:solidFill>
                      <a:effectLst/>
                      <a:latin typeface="Cambria Math" panose="02040503050406030204" pitchFamily="18" charset="0"/>
                      <a:ea typeface="+mn-ea"/>
                      <a:cs typeface="+mn-cs"/>
                    </a:rPr>
                    <a:t>𝑊/</a:t>
                  </a:r>
                  <a:r>
                    <a:rPr lang="de-DE" sz="900" b="0" i="0">
                      <a:solidFill>
                        <a:schemeClr val="bg2">
                          <a:lumMod val="75000"/>
                        </a:schemeClr>
                      </a:solidFill>
                      <a:effectLst/>
                      <a:latin typeface="+mn-lt"/>
                      <a:ea typeface="+mn-ea"/>
                      <a:cs typeface="+mn-cs"/>
                    </a:rPr>
                    <a:t>𝜌_𝑀𝐴𝑇</a:t>
                  </a:r>
                  <a:r>
                    <a:rPr lang="de-DE" sz="900" b="0" i="0">
                      <a:solidFill>
                        <a:schemeClr val="bg2">
                          <a:lumMod val="75000"/>
                        </a:schemeClr>
                      </a:solidFill>
                      <a:effectLst/>
                      <a:latin typeface="Cambria Math" panose="02040503050406030204" pitchFamily="18" charset="0"/>
                      <a:ea typeface="+mn-ea"/>
                      <a:cs typeface="+mn-cs"/>
                    </a:rPr>
                    <a:t> </a:t>
                  </a:r>
                  <a:endParaRPr lang="de-DE" sz="900">
                    <a:solidFill>
                      <a:schemeClr val="bg2">
                        <a:lumMod val="75000"/>
                      </a:schemeClr>
                    </a:solidFill>
                    <a:latin typeface="Aptos Narrow" panose="020B0004020202020204" pitchFamily="34" charset="0"/>
                  </a:endParaRPr>
                </a:p>
              </xdr:txBody>
            </xdr:sp>
          </mc:Fallback>
        </mc:AlternateContent>
      </xdr:grpSp>
    </xdr:grpSp>
    <xdr:clientData/>
  </xdr:twoCellAnchor>
  <xdr:twoCellAnchor editAs="oneCell">
    <xdr:from>
      <xdr:col>15</xdr:col>
      <xdr:colOff>53008</xdr:colOff>
      <xdr:row>0</xdr:row>
      <xdr:rowOff>132521</xdr:rowOff>
    </xdr:from>
    <xdr:to>
      <xdr:col>16</xdr:col>
      <xdr:colOff>521306</xdr:colOff>
      <xdr:row>2</xdr:row>
      <xdr:rowOff>141701</xdr:rowOff>
    </xdr:to>
    <xdr:pic>
      <xdr:nvPicPr>
        <xdr:cNvPr id="3" name="Grafik 2">
          <a:extLst>
            <a:ext uri="{FF2B5EF4-FFF2-40B4-BE49-F238E27FC236}">
              <a16:creationId xmlns:a16="http://schemas.microsoft.com/office/drawing/2014/main" id="{766F323D-4DF4-413B-94D4-4DB9060B8F84}"/>
            </a:ext>
          </a:extLst>
        </xdr:cNvPr>
        <xdr:cNvPicPr>
          <a:picLocks noChangeAspect="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8587408" y="132521"/>
          <a:ext cx="1077898" cy="473006"/>
        </a:xfrm>
        <a:prstGeom prst="rect">
          <a:avLst/>
        </a:prstGeom>
      </xdr:spPr>
    </xdr:pic>
    <xdr:clientData/>
  </xdr:twoCellAnchor>
  <xdr:twoCellAnchor editAs="oneCell">
    <xdr:from>
      <xdr:col>0</xdr:col>
      <xdr:colOff>76201</xdr:colOff>
      <xdr:row>0</xdr:row>
      <xdr:rowOff>29310</xdr:rowOff>
    </xdr:from>
    <xdr:to>
      <xdr:col>0</xdr:col>
      <xdr:colOff>292201</xdr:colOff>
      <xdr:row>1</xdr:row>
      <xdr:rowOff>16710</xdr:rowOff>
    </xdr:to>
    <xdr:pic>
      <xdr:nvPicPr>
        <xdr:cNvPr id="6" name="Grafik 5" descr="Start mit einfarbiger Füllung">
          <a:hlinkClick xmlns:r="http://schemas.openxmlformats.org/officeDocument/2006/relationships" r:id="rId3"/>
          <a:extLst>
            <a:ext uri="{FF2B5EF4-FFF2-40B4-BE49-F238E27FC236}">
              <a16:creationId xmlns:a16="http://schemas.microsoft.com/office/drawing/2014/main" id="{9F992FBF-F3F2-D083-2793-3C0AF2D3F8D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76201" y="29310"/>
          <a:ext cx="216000" cy="216000"/>
        </a:xfrm>
        <a:prstGeom prst="rect">
          <a:avLst/>
        </a:prstGeom>
      </xdr:spPr>
    </xdr:pic>
    <xdr:clientData/>
  </xdr:twoCellAnchor>
  <xdr:twoCellAnchor editAs="oneCell">
    <xdr:from>
      <xdr:col>0</xdr:col>
      <xdr:colOff>4689</xdr:colOff>
      <xdr:row>16</xdr:row>
      <xdr:rowOff>5864</xdr:rowOff>
    </xdr:from>
    <xdr:to>
      <xdr:col>5</xdr:col>
      <xdr:colOff>594487</xdr:colOff>
      <xdr:row>26</xdr:row>
      <xdr:rowOff>29838</xdr:rowOff>
    </xdr:to>
    <xdr:pic>
      <xdr:nvPicPr>
        <xdr:cNvPr id="13" name="Grafik 12">
          <a:extLst>
            <a:ext uri="{FF2B5EF4-FFF2-40B4-BE49-F238E27FC236}">
              <a16:creationId xmlns:a16="http://schemas.microsoft.com/office/drawing/2014/main" id="{2397B8AA-1755-A4E9-196C-BEAB3D96A44B}"/>
            </a:ext>
          </a:extLst>
        </xdr:cNvPr>
        <xdr:cNvPicPr>
          <a:picLocks noChangeAspect="1"/>
        </xdr:cNvPicPr>
      </xdr:nvPicPr>
      <xdr:blipFill>
        <a:blip xmlns:r="http://schemas.openxmlformats.org/officeDocument/2006/relationships" r:embed="rId6"/>
        <a:stretch>
          <a:fillRect/>
        </a:stretch>
      </xdr:blipFill>
      <xdr:spPr>
        <a:xfrm>
          <a:off x="4689" y="3259604"/>
          <a:ext cx="3637798" cy="230997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190499</xdr:colOff>
      <xdr:row>9</xdr:row>
      <xdr:rowOff>49530</xdr:rowOff>
    </xdr:from>
    <xdr:to>
      <xdr:col>14</xdr:col>
      <xdr:colOff>533399</xdr:colOff>
      <xdr:row>27</xdr:row>
      <xdr:rowOff>144780</xdr:rowOff>
    </xdr:to>
    <xdr:graphicFrame macro="">
      <xdr:nvGraphicFramePr>
        <xdr:cNvPr id="2" name="Diagramm 1">
          <a:extLst>
            <a:ext uri="{FF2B5EF4-FFF2-40B4-BE49-F238E27FC236}">
              <a16:creationId xmlns:a16="http://schemas.microsoft.com/office/drawing/2014/main" id="{ED2DF7BC-43DF-0A30-D5F3-1779753A7D9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246548</xdr:colOff>
      <xdr:row>0</xdr:row>
      <xdr:rowOff>133793</xdr:rowOff>
    </xdr:from>
    <xdr:to>
      <xdr:col>14</xdr:col>
      <xdr:colOff>562446</xdr:colOff>
      <xdr:row>2</xdr:row>
      <xdr:rowOff>142973</xdr:rowOff>
    </xdr:to>
    <xdr:pic>
      <xdr:nvPicPr>
        <xdr:cNvPr id="3" name="Grafik 2">
          <a:extLst>
            <a:ext uri="{FF2B5EF4-FFF2-40B4-BE49-F238E27FC236}">
              <a16:creationId xmlns:a16="http://schemas.microsoft.com/office/drawing/2014/main" id="{06569BBF-0130-4892-8DFD-0B1012C0289A}"/>
            </a:ext>
          </a:extLst>
        </xdr:cNvPr>
        <xdr:cNvPicPr>
          <a:picLocks noChangeAspect="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8593379" y="133793"/>
          <a:ext cx="1077898" cy="466380"/>
        </a:xfrm>
        <a:prstGeom prst="rect">
          <a:avLst/>
        </a:prstGeom>
      </xdr:spPr>
    </xdr:pic>
    <xdr:clientData/>
  </xdr:twoCellAnchor>
  <xdr:twoCellAnchor editAs="oneCell">
    <xdr:from>
      <xdr:col>0</xdr:col>
      <xdr:colOff>76206</xdr:colOff>
      <xdr:row>0</xdr:row>
      <xdr:rowOff>29310</xdr:rowOff>
    </xdr:from>
    <xdr:to>
      <xdr:col>0</xdr:col>
      <xdr:colOff>292206</xdr:colOff>
      <xdr:row>1</xdr:row>
      <xdr:rowOff>16710</xdr:rowOff>
    </xdr:to>
    <xdr:pic>
      <xdr:nvPicPr>
        <xdr:cNvPr id="5" name="Grafik 4" descr="Start mit einfarbiger Füllung">
          <a:hlinkClick xmlns:r="http://schemas.openxmlformats.org/officeDocument/2006/relationships" r:id="rId3"/>
          <a:extLst>
            <a:ext uri="{FF2B5EF4-FFF2-40B4-BE49-F238E27FC236}">
              <a16:creationId xmlns:a16="http://schemas.microsoft.com/office/drawing/2014/main" id="{776E1F21-4808-4F57-9912-D33EF09E0E6B}"/>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76206" y="29310"/>
          <a:ext cx="216000" cy="216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668582</xdr:colOff>
      <xdr:row>0</xdr:row>
      <xdr:rowOff>133793</xdr:rowOff>
    </xdr:from>
    <xdr:to>
      <xdr:col>14</xdr:col>
      <xdr:colOff>984480</xdr:colOff>
      <xdr:row>2</xdr:row>
      <xdr:rowOff>142973</xdr:rowOff>
    </xdr:to>
    <xdr:pic>
      <xdr:nvPicPr>
        <xdr:cNvPr id="3" name="Grafik 2">
          <a:extLst>
            <a:ext uri="{FF2B5EF4-FFF2-40B4-BE49-F238E27FC236}">
              <a16:creationId xmlns:a16="http://schemas.microsoft.com/office/drawing/2014/main" id="{969C5367-AA96-4836-BFB9-C737C824B945}"/>
            </a:ext>
          </a:extLst>
        </xdr:cNvPr>
        <xdr:cNvPicPr>
          <a:picLocks noChangeAspect="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8593382" y="133793"/>
          <a:ext cx="1077898" cy="466380"/>
        </a:xfrm>
        <a:prstGeom prst="rect">
          <a:avLst/>
        </a:prstGeom>
      </xdr:spPr>
    </xdr:pic>
    <xdr:clientData/>
  </xdr:twoCellAnchor>
  <xdr:twoCellAnchor editAs="oneCell">
    <xdr:from>
      <xdr:col>0</xdr:col>
      <xdr:colOff>76206</xdr:colOff>
      <xdr:row>0</xdr:row>
      <xdr:rowOff>29310</xdr:rowOff>
    </xdr:from>
    <xdr:to>
      <xdr:col>0</xdr:col>
      <xdr:colOff>292206</xdr:colOff>
      <xdr:row>1</xdr:row>
      <xdr:rowOff>16710</xdr:rowOff>
    </xdr:to>
    <xdr:pic>
      <xdr:nvPicPr>
        <xdr:cNvPr id="4" name="Grafik 3" descr="Start mit einfarbiger Füllung">
          <a:hlinkClick xmlns:r="http://schemas.openxmlformats.org/officeDocument/2006/relationships" r:id="rId2"/>
          <a:extLst>
            <a:ext uri="{FF2B5EF4-FFF2-40B4-BE49-F238E27FC236}">
              <a16:creationId xmlns:a16="http://schemas.microsoft.com/office/drawing/2014/main" id="{EEAC933B-9716-4596-9E0F-1669FC86950D}"/>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76206" y="29310"/>
          <a:ext cx="216000" cy="216000"/>
        </a:xfrm>
        <a:prstGeom prst="rect">
          <a:avLst/>
        </a:prstGeom>
      </xdr:spPr>
    </xdr:pic>
    <xdr:clientData/>
  </xdr:twoCellAnchor>
  <xdr:twoCellAnchor>
    <xdr:from>
      <xdr:col>3</xdr:col>
      <xdr:colOff>145774</xdr:colOff>
      <xdr:row>6</xdr:row>
      <xdr:rowOff>30227</xdr:rowOff>
    </xdr:from>
    <xdr:to>
      <xdr:col>3</xdr:col>
      <xdr:colOff>439908</xdr:colOff>
      <xdr:row>10</xdr:row>
      <xdr:rowOff>225292</xdr:rowOff>
    </xdr:to>
    <xdr:sp macro="" textlink="">
      <xdr:nvSpPr>
        <xdr:cNvPr id="5" name="Gleichschenkliges Dreieck 4">
          <a:extLst>
            <a:ext uri="{FF2B5EF4-FFF2-40B4-BE49-F238E27FC236}">
              <a16:creationId xmlns:a16="http://schemas.microsoft.com/office/drawing/2014/main" id="{9FD983F0-6FB5-4C33-A207-122D408A57DA}"/>
            </a:ext>
          </a:extLst>
        </xdr:cNvPr>
        <xdr:cNvSpPr/>
      </xdr:nvSpPr>
      <xdr:spPr>
        <a:xfrm rot="5400000">
          <a:off x="1566908" y="1838801"/>
          <a:ext cx="1109465" cy="294134"/>
        </a:xfrm>
        <a:prstGeom prst="triangle">
          <a:avLst/>
        </a:prstGeom>
        <a:solidFill>
          <a:schemeClr val="bg2">
            <a:lumMod val="75000"/>
          </a:schemeClr>
        </a:solidFill>
        <a:ln>
          <a:solidFill>
            <a:schemeClr val="tx1">
              <a:lumMod val="75000"/>
              <a:lumOff val="2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7</xdr:col>
      <xdr:colOff>157498</xdr:colOff>
      <xdr:row>6</xdr:row>
      <xdr:rowOff>36088</xdr:rowOff>
    </xdr:from>
    <xdr:to>
      <xdr:col>7</xdr:col>
      <xdr:colOff>451632</xdr:colOff>
      <xdr:row>11</xdr:row>
      <xdr:rowOff>2553</xdr:rowOff>
    </xdr:to>
    <xdr:sp macro="" textlink="">
      <xdr:nvSpPr>
        <xdr:cNvPr id="6" name="Gleichschenkliges Dreieck 5">
          <a:extLst>
            <a:ext uri="{FF2B5EF4-FFF2-40B4-BE49-F238E27FC236}">
              <a16:creationId xmlns:a16="http://schemas.microsoft.com/office/drawing/2014/main" id="{7A51A8B1-0D4A-4ED9-AAA9-5F6D374D17F2}"/>
            </a:ext>
          </a:extLst>
        </xdr:cNvPr>
        <xdr:cNvSpPr/>
      </xdr:nvSpPr>
      <xdr:spPr>
        <a:xfrm rot="5400000">
          <a:off x="4439063" y="1844662"/>
          <a:ext cx="1109465" cy="294134"/>
        </a:xfrm>
        <a:prstGeom prst="triangle">
          <a:avLst/>
        </a:prstGeom>
        <a:solidFill>
          <a:schemeClr val="bg2">
            <a:lumMod val="75000"/>
          </a:schemeClr>
        </a:solidFill>
        <a:ln>
          <a:solidFill>
            <a:schemeClr val="tx1">
              <a:lumMod val="75000"/>
              <a:lumOff val="2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85</xdr:row>
      <xdr:rowOff>125730</xdr:rowOff>
    </xdr:from>
    <xdr:to>
      <xdr:col>4</xdr:col>
      <xdr:colOff>320040</xdr:colOff>
      <xdr:row>99</xdr:row>
      <xdr:rowOff>99060</xdr:rowOff>
    </xdr:to>
    <xdr:grpSp>
      <xdr:nvGrpSpPr>
        <xdr:cNvPr id="21" name="Gruppieren 20">
          <a:extLst>
            <a:ext uri="{FF2B5EF4-FFF2-40B4-BE49-F238E27FC236}">
              <a16:creationId xmlns:a16="http://schemas.microsoft.com/office/drawing/2014/main" id="{97A12A80-4543-B1E6-9D35-CD743B82AF80}"/>
            </a:ext>
          </a:extLst>
        </xdr:cNvPr>
        <xdr:cNvGrpSpPr/>
      </xdr:nvGrpSpPr>
      <xdr:grpSpPr>
        <a:xfrm>
          <a:off x="0" y="15942200"/>
          <a:ext cx="4030649" cy="2570756"/>
          <a:chOff x="0" y="15942200"/>
          <a:chExt cx="4030649" cy="2570756"/>
        </a:xfrm>
      </xdr:grpSpPr>
      <xdr:graphicFrame macro="">
        <xdr:nvGraphicFramePr>
          <xdr:cNvPr id="15" name="Diagramm 14">
            <a:extLst>
              <a:ext uri="{FF2B5EF4-FFF2-40B4-BE49-F238E27FC236}">
                <a16:creationId xmlns:a16="http://schemas.microsoft.com/office/drawing/2014/main" id="{768E18F9-AAB5-1E5F-5C0E-83415B19F234}"/>
              </a:ext>
            </a:extLst>
          </xdr:cNvPr>
          <xdr:cNvGraphicFramePr/>
        </xdr:nvGraphicFramePr>
        <xdr:xfrm>
          <a:off x="0" y="15942200"/>
          <a:ext cx="4030649" cy="2570756"/>
        </xdr:xfrm>
        <a:graphic>
          <a:graphicData uri="http://schemas.openxmlformats.org/drawingml/2006/chart">
            <c:chart xmlns:c="http://schemas.openxmlformats.org/drawingml/2006/chart" xmlns:r="http://schemas.openxmlformats.org/officeDocument/2006/relationships" r:id="rId1"/>
          </a:graphicData>
        </a:graphic>
      </xdr:graphicFrame>
      <mc:AlternateContent xmlns:mc="http://schemas.openxmlformats.org/markup-compatibility/2006" xmlns:a14="http://schemas.microsoft.com/office/drawing/2010/main">
        <mc:Choice Requires="a14">
          <xdr:sp macro="" textlink="">
            <xdr:nvSpPr>
              <xdr:cNvPr id="19" name="Textfeld 18">
                <a:extLst>
                  <a:ext uri="{FF2B5EF4-FFF2-40B4-BE49-F238E27FC236}">
                    <a16:creationId xmlns:a16="http://schemas.microsoft.com/office/drawing/2014/main" id="{5CF3DAED-96E2-BFB2-4262-BB348F832FC2}"/>
                  </a:ext>
                </a:extLst>
              </xdr:cNvPr>
              <xdr:cNvSpPr txBox="1"/>
            </xdr:nvSpPr>
            <xdr:spPr>
              <a:xfrm>
                <a:off x="2708081" y="16484379"/>
                <a:ext cx="414462" cy="392264"/>
              </a:xfrm>
              <a:prstGeom prst="rect">
                <a:avLst/>
              </a:prstGeom>
              <a:solidFill>
                <a:srgbClr val="FBFBF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14:m>
                  <m:oMathPara xmlns:m="http://schemas.openxmlformats.org/officeDocument/2006/math">
                    <m:oMathParaPr>
                      <m:jc m:val="centerGroup"/>
                    </m:oMathParaPr>
                    <m:oMath xmlns:m="http://schemas.openxmlformats.org/officeDocument/2006/math">
                      <m:f>
                        <m:fPr>
                          <m:ctrlPr>
                            <a:rPr lang="de-DE" sz="900" b="0" i="1">
                              <a:solidFill>
                                <a:schemeClr val="tx1">
                                  <a:lumMod val="75000"/>
                                  <a:lumOff val="25000"/>
                                </a:schemeClr>
                              </a:solidFill>
                              <a:latin typeface="Cambria Math" panose="02040503050406030204" pitchFamily="18" charset="0"/>
                            </a:rPr>
                          </m:ctrlPr>
                        </m:fPr>
                        <m:num>
                          <m:sSub>
                            <m:sSubPr>
                              <m:ctrlPr>
                                <a:rPr lang="de-DE" sz="900" b="0" i="1">
                                  <a:solidFill>
                                    <a:schemeClr val="tx1">
                                      <a:lumMod val="75000"/>
                                      <a:lumOff val="25000"/>
                                    </a:schemeClr>
                                  </a:solidFill>
                                  <a:latin typeface="Cambria Math" panose="02040503050406030204" pitchFamily="18" charset="0"/>
                                </a:rPr>
                              </m:ctrlPr>
                            </m:sSubPr>
                            <m:e>
                              <m:r>
                                <a:rPr lang="de-DE" sz="900" b="0" i="1">
                                  <a:solidFill>
                                    <a:schemeClr val="tx1">
                                      <a:lumMod val="75000"/>
                                      <a:lumOff val="25000"/>
                                    </a:schemeClr>
                                  </a:solidFill>
                                  <a:latin typeface="Cambria Math" panose="02040503050406030204" pitchFamily="18" charset="0"/>
                                  <a:ea typeface="Cambria Math" panose="02040503050406030204" pitchFamily="18" charset="0"/>
                                </a:rPr>
                                <m:t>𝜌</m:t>
                              </m:r>
                            </m:e>
                            <m:sub>
                              <m:r>
                                <a:rPr lang="de-DE" sz="900" b="0" i="1">
                                  <a:solidFill>
                                    <a:schemeClr val="tx1">
                                      <a:lumMod val="75000"/>
                                      <a:lumOff val="25000"/>
                                    </a:schemeClr>
                                  </a:solidFill>
                                  <a:latin typeface="Cambria Math" panose="02040503050406030204" pitchFamily="18" charset="0"/>
                                </a:rPr>
                                <m:t>𝑀𝐴𝑇</m:t>
                              </m:r>
                            </m:sub>
                          </m:sSub>
                        </m:num>
                        <m:den>
                          <m:sSub>
                            <m:sSubPr>
                              <m:ctrlPr>
                                <a:rPr lang="de-DE" sz="900" b="0" i="1">
                                  <a:solidFill>
                                    <a:schemeClr val="tx1">
                                      <a:lumMod val="75000"/>
                                      <a:lumOff val="25000"/>
                                    </a:schemeClr>
                                  </a:solidFill>
                                  <a:effectLst/>
                                  <a:latin typeface="Cambria Math" panose="02040503050406030204" pitchFamily="18" charset="0"/>
                                  <a:ea typeface="+mn-ea"/>
                                  <a:cs typeface="+mn-cs"/>
                                </a:rPr>
                              </m:ctrlPr>
                            </m:sSubPr>
                            <m:e>
                              <m:r>
                                <a:rPr lang="de-DE" sz="900" b="0" i="1">
                                  <a:solidFill>
                                    <a:schemeClr val="tx1">
                                      <a:lumMod val="75000"/>
                                      <a:lumOff val="25000"/>
                                    </a:schemeClr>
                                  </a:solidFill>
                                  <a:effectLst/>
                                  <a:latin typeface="Cambria Math" panose="02040503050406030204" pitchFamily="18" charset="0"/>
                                  <a:ea typeface="+mn-ea"/>
                                  <a:cs typeface="+mn-cs"/>
                                </a:rPr>
                                <m:t>𝜌</m:t>
                              </m:r>
                            </m:e>
                            <m:sub>
                              <m:r>
                                <a:rPr lang="de-DE" sz="900" b="0" i="1">
                                  <a:solidFill>
                                    <a:schemeClr val="tx1">
                                      <a:lumMod val="75000"/>
                                      <a:lumOff val="25000"/>
                                    </a:schemeClr>
                                  </a:solidFill>
                                  <a:effectLst/>
                                  <a:latin typeface="Cambria Math" panose="02040503050406030204" pitchFamily="18" charset="0"/>
                                  <a:ea typeface="+mn-ea"/>
                                  <a:cs typeface="+mn-cs"/>
                                </a:rPr>
                                <m:t>𝑊</m:t>
                              </m:r>
                            </m:sub>
                          </m:sSub>
                        </m:den>
                      </m:f>
                    </m:oMath>
                  </m:oMathPara>
                </a14:m>
                <a:endParaRPr lang="de-DE" sz="900" b="0">
                  <a:solidFill>
                    <a:schemeClr val="tx1">
                      <a:lumMod val="75000"/>
                      <a:lumOff val="25000"/>
                    </a:schemeClr>
                  </a:solidFill>
                  <a:latin typeface="Aptos Narrow" panose="020B0004020202020204" pitchFamily="34" charset="0"/>
                </a:endParaRPr>
              </a:p>
              <a:p>
                <a:endParaRPr lang="de-DE" sz="900">
                  <a:solidFill>
                    <a:schemeClr val="tx1">
                      <a:lumMod val="75000"/>
                      <a:lumOff val="25000"/>
                    </a:schemeClr>
                  </a:solidFill>
                  <a:latin typeface="Aptos Narrow" panose="020B0004020202020204" pitchFamily="34" charset="0"/>
                </a:endParaRPr>
              </a:p>
            </xdr:txBody>
          </xdr:sp>
        </mc:Choice>
        <mc:Fallback xmlns="">
          <xdr:sp macro="" textlink="">
            <xdr:nvSpPr>
              <xdr:cNvPr id="19" name="Textfeld 18">
                <a:extLst>
                  <a:ext uri="{FF2B5EF4-FFF2-40B4-BE49-F238E27FC236}">
                    <a16:creationId xmlns:a16="http://schemas.microsoft.com/office/drawing/2014/main" id="{5CF3DAED-96E2-BFB2-4262-BB348F832FC2}"/>
                  </a:ext>
                </a:extLst>
              </xdr:cNvPr>
              <xdr:cNvSpPr txBox="1"/>
            </xdr:nvSpPr>
            <xdr:spPr>
              <a:xfrm>
                <a:off x="2708081" y="16484379"/>
                <a:ext cx="414462" cy="392264"/>
              </a:xfrm>
              <a:prstGeom prst="rect">
                <a:avLst/>
              </a:prstGeom>
              <a:solidFill>
                <a:srgbClr val="FBFBF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900" b="0" i="0">
                    <a:solidFill>
                      <a:schemeClr val="tx1">
                        <a:lumMod val="75000"/>
                        <a:lumOff val="25000"/>
                      </a:schemeClr>
                    </a:solidFill>
                    <a:latin typeface="Cambria Math" panose="02040503050406030204" pitchFamily="18" charset="0"/>
                    <a:ea typeface="Cambria Math" panose="02040503050406030204" pitchFamily="18" charset="0"/>
                  </a:rPr>
                  <a:t>𝜌_</a:t>
                </a:r>
                <a:r>
                  <a:rPr lang="de-DE" sz="900" b="0" i="0">
                    <a:solidFill>
                      <a:schemeClr val="tx1">
                        <a:lumMod val="75000"/>
                        <a:lumOff val="25000"/>
                      </a:schemeClr>
                    </a:solidFill>
                    <a:latin typeface="Cambria Math" panose="02040503050406030204" pitchFamily="18" charset="0"/>
                  </a:rPr>
                  <a:t>𝑀𝐴𝑇/</a:t>
                </a:r>
                <a:r>
                  <a:rPr lang="de-DE" sz="900" b="0" i="0">
                    <a:solidFill>
                      <a:schemeClr val="tx1">
                        <a:lumMod val="75000"/>
                        <a:lumOff val="25000"/>
                      </a:schemeClr>
                    </a:solidFill>
                    <a:effectLst/>
                    <a:latin typeface="+mn-lt"/>
                    <a:ea typeface="+mn-ea"/>
                    <a:cs typeface="+mn-cs"/>
                  </a:rPr>
                  <a:t>𝜌_</a:t>
                </a:r>
                <a:r>
                  <a:rPr lang="de-DE" sz="900" b="0" i="0">
                    <a:solidFill>
                      <a:schemeClr val="tx1">
                        <a:lumMod val="75000"/>
                        <a:lumOff val="25000"/>
                      </a:schemeClr>
                    </a:solidFill>
                    <a:effectLst/>
                    <a:latin typeface="Cambria Math" panose="02040503050406030204" pitchFamily="18" charset="0"/>
                    <a:ea typeface="+mn-ea"/>
                    <a:cs typeface="+mn-cs"/>
                  </a:rPr>
                  <a:t>𝑊 </a:t>
                </a:r>
                <a:endParaRPr lang="de-DE" sz="900" b="0">
                  <a:solidFill>
                    <a:schemeClr val="tx1">
                      <a:lumMod val="75000"/>
                      <a:lumOff val="25000"/>
                    </a:schemeClr>
                  </a:solidFill>
                  <a:latin typeface="Aptos Narrow" panose="020B0004020202020204" pitchFamily="34" charset="0"/>
                </a:endParaRPr>
              </a:p>
              <a:p>
                <a:endParaRPr lang="de-DE" sz="900">
                  <a:solidFill>
                    <a:schemeClr val="tx1">
                      <a:lumMod val="75000"/>
                      <a:lumOff val="25000"/>
                    </a:schemeClr>
                  </a:solidFill>
                  <a:latin typeface="Aptos Narrow" panose="020B0004020202020204" pitchFamily="34" charset="0"/>
                </a:endParaRPr>
              </a:p>
            </xdr:txBody>
          </xdr:sp>
        </mc:Fallback>
      </mc:AlternateContent>
    </xdr:grpSp>
    <xdr:clientData/>
  </xdr:twoCellAnchor>
  <xdr:twoCellAnchor>
    <xdr:from>
      <xdr:col>4</xdr:col>
      <xdr:colOff>510540</xdr:colOff>
      <xdr:row>85</xdr:row>
      <xdr:rowOff>152400</xdr:rowOff>
    </xdr:from>
    <xdr:to>
      <xdr:col>9</xdr:col>
      <xdr:colOff>175260</xdr:colOff>
      <xdr:row>99</xdr:row>
      <xdr:rowOff>125730</xdr:rowOff>
    </xdr:to>
    <xdr:grpSp>
      <xdr:nvGrpSpPr>
        <xdr:cNvPr id="22" name="Gruppieren 21">
          <a:extLst>
            <a:ext uri="{FF2B5EF4-FFF2-40B4-BE49-F238E27FC236}">
              <a16:creationId xmlns:a16="http://schemas.microsoft.com/office/drawing/2014/main" id="{F6CFD032-A5F5-F0A1-650B-604111261F65}"/>
            </a:ext>
          </a:extLst>
        </xdr:cNvPr>
        <xdr:cNvGrpSpPr/>
      </xdr:nvGrpSpPr>
      <xdr:grpSpPr>
        <a:xfrm>
          <a:off x="4221149" y="15968870"/>
          <a:ext cx="4037937" cy="2570756"/>
          <a:chOff x="4221149" y="15968870"/>
          <a:chExt cx="4037937" cy="2570756"/>
        </a:xfrm>
      </xdr:grpSpPr>
      <xdr:graphicFrame macro="">
        <xdr:nvGraphicFramePr>
          <xdr:cNvPr id="18" name="Diagramm 17">
            <a:extLst>
              <a:ext uri="{FF2B5EF4-FFF2-40B4-BE49-F238E27FC236}">
                <a16:creationId xmlns:a16="http://schemas.microsoft.com/office/drawing/2014/main" id="{8AAAC67A-4BE8-4013-A370-0591F417DDD1}"/>
              </a:ext>
            </a:extLst>
          </xdr:cNvPr>
          <xdr:cNvGraphicFramePr>
            <a:graphicFrameLocks/>
          </xdr:cNvGraphicFramePr>
        </xdr:nvGraphicFramePr>
        <xdr:xfrm>
          <a:off x="4221149" y="15968870"/>
          <a:ext cx="4037937" cy="2570756"/>
        </xdr:xfrm>
        <a:graphic>
          <a:graphicData uri="http://schemas.openxmlformats.org/drawingml/2006/chart">
            <c:chart xmlns:c="http://schemas.openxmlformats.org/drawingml/2006/chart" xmlns:r="http://schemas.openxmlformats.org/officeDocument/2006/relationships" r:id="rId2"/>
          </a:graphicData>
        </a:graphic>
      </xdr:graphicFrame>
      <mc:AlternateContent xmlns:mc="http://schemas.openxmlformats.org/markup-compatibility/2006" xmlns:a14="http://schemas.microsoft.com/office/drawing/2010/main">
        <mc:Choice Requires="a14">
          <xdr:sp macro="" textlink="">
            <xdr:nvSpPr>
              <xdr:cNvPr id="20" name="Textfeld 19">
                <a:extLst>
                  <a:ext uri="{FF2B5EF4-FFF2-40B4-BE49-F238E27FC236}">
                    <a16:creationId xmlns:a16="http://schemas.microsoft.com/office/drawing/2014/main" id="{7B14D5FC-9F01-4FC9-823A-728222046C80}"/>
                  </a:ext>
                </a:extLst>
              </xdr:cNvPr>
              <xdr:cNvSpPr txBox="1"/>
            </xdr:nvSpPr>
            <xdr:spPr>
              <a:xfrm>
                <a:off x="7015037" y="17451788"/>
                <a:ext cx="414462" cy="392264"/>
              </a:xfrm>
              <a:prstGeom prst="rect">
                <a:avLst/>
              </a:prstGeom>
              <a:solidFill>
                <a:srgbClr val="FBFBF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14:m>
                  <m:oMathPara xmlns:m="http://schemas.openxmlformats.org/officeDocument/2006/math">
                    <m:oMathParaPr>
                      <m:jc m:val="centerGroup"/>
                    </m:oMathParaPr>
                    <m:oMath xmlns:m="http://schemas.openxmlformats.org/officeDocument/2006/math">
                      <m:f>
                        <m:fPr>
                          <m:ctrlPr>
                            <a:rPr lang="de-DE" sz="900" b="0" i="1">
                              <a:solidFill>
                                <a:schemeClr val="tx1">
                                  <a:lumMod val="75000"/>
                                  <a:lumOff val="25000"/>
                                </a:schemeClr>
                              </a:solidFill>
                              <a:latin typeface="Cambria Math" panose="02040503050406030204" pitchFamily="18" charset="0"/>
                            </a:rPr>
                          </m:ctrlPr>
                        </m:fPr>
                        <m:num>
                          <m:sSub>
                            <m:sSubPr>
                              <m:ctrlPr>
                                <a:rPr lang="de-DE" sz="900" b="0" i="1">
                                  <a:solidFill>
                                    <a:schemeClr val="tx1">
                                      <a:lumMod val="75000"/>
                                      <a:lumOff val="25000"/>
                                    </a:schemeClr>
                                  </a:solidFill>
                                  <a:latin typeface="Cambria Math" panose="02040503050406030204" pitchFamily="18" charset="0"/>
                                </a:rPr>
                              </m:ctrlPr>
                            </m:sSubPr>
                            <m:e>
                              <m:r>
                                <a:rPr lang="de-DE" sz="900" b="0" i="1">
                                  <a:solidFill>
                                    <a:schemeClr val="tx1">
                                      <a:lumMod val="75000"/>
                                      <a:lumOff val="25000"/>
                                    </a:schemeClr>
                                  </a:solidFill>
                                  <a:latin typeface="Cambria Math" panose="02040503050406030204" pitchFamily="18" charset="0"/>
                                  <a:ea typeface="Cambria Math" panose="02040503050406030204" pitchFamily="18" charset="0"/>
                                </a:rPr>
                                <m:t>𝜌</m:t>
                              </m:r>
                            </m:e>
                            <m:sub>
                              <m:r>
                                <a:rPr lang="de-DE" sz="900" b="0" i="1">
                                  <a:solidFill>
                                    <a:schemeClr val="tx1">
                                      <a:lumMod val="75000"/>
                                      <a:lumOff val="25000"/>
                                    </a:schemeClr>
                                  </a:solidFill>
                                  <a:latin typeface="Cambria Math" panose="02040503050406030204" pitchFamily="18" charset="0"/>
                                </a:rPr>
                                <m:t>𝑀𝐴𝑇</m:t>
                              </m:r>
                            </m:sub>
                          </m:sSub>
                        </m:num>
                        <m:den>
                          <m:sSub>
                            <m:sSubPr>
                              <m:ctrlPr>
                                <a:rPr lang="de-DE" sz="900" b="0" i="1">
                                  <a:solidFill>
                                    <a:schemeClr val="tx1">
                                      <a:lumMod val="75000"/>
                                      <a:lumOff val="25000"/>
                                    </a:schemeClr>
                                  </a:solidFill>
                                  <a:effectLst/>
                                  <a:latin typeface="Cambria Math" panose="02040503050406030204" pitchFamily="18" charset="0"/>
                                  <a:ea typeface="+mn-ea"/>
                                  <a:cs typeface="+mn-cs"/>
                                </a:rPr>
                              </m:ctrlPr>
                            </m:sSubPr>
                            <m:e>
                              <m:r>
                                <a:rPr lang="de-DE" sz="900" b="0" i="1">
                                  <a:solidFill>
                                    <a:schemeClr val="tx1">
                                      <a:lumMod val="75000"/>
                                      <a:lumOff val="25000"/>
                                    </a:schemeClr>
                                  </a:solidFill>
                                  <a:effectLst/>
                                  <a:latin typeface="Cambria Math" panose="02040503050406030204" pitchFamily="18" charset="0"/>
                                  <a:ea typeface="+mn-ea"/>
                                  <a:cs typeface="+mn-cs"/>
                                </a:rPr>
                                <m:t>𝜌</m:t>
                              </m:r>
                            </m:e>
                            <m:sub>
                              <m:r>
                                <a:rPr lang="de-DE" sz="900" b="0" i="1">
                                  <a:solidFill>
                                    <a:schemeClr val="tx1">
                                      <a:lumMod val="75000"/>
                                      <a:lumOff val="25000"/>
                                    </a:schemeClr>
                                  </a:solidFill>
                                  <a:effectLst/>
                                  <a:latin typeface="Cambria Math" panose="02040503050406030204" pitchFamily="18" charset="0"/>
                                  <a:ea typeface="+mn-ea"/>
                                  <a:cs typeface="+mn-cs"/>
                                </a:rPr>
                                <m:t>𝑊</m:t>
                              </m:r>
                            </m:sub>
                          </m:sSub>
                        </m:den>
                      </m:f>
                    </m:oMath>
                  </m:oMathPara>
                </a14:m>
                <a:endParaRPr lang="de-DE" sz="900" b="0">
                  <a:solidFill>
                    <a:schemeClr val="tx1">
                      <a:lumMod val="75000"/>
                      <a:lumOff val="25000"/>
                    </a:schemeClr>
                  </a:solidFill>
                  <a:latin typeface="Aptos Narrow" panose="020B0004020202020204" pitchFamily="34" charset="0"/>
                </a:endParaRPr>
              </a:p>
              <a:p>
                <a:endParaRPr lang="de-DE" sz="900">
                  <a:solidFill>
                    <a:schemeClr val="tx1">
                      <a:lumMod val="75000"/>
                      <a:lumOff val="25000"/>
                    </a:schemeClr>
                  </a:solidFill>
                  <a:latin typeface="Aptos Narrow" panose="020B0004020202020204" pitchFamily="34" charset="0"/>
                </a:endParaRPr>
              </a:p>
            </xdr:txBody>
          </xdr:sp>
        </mc:Choice>
        <mc:Fallback xmlns="">
          <xdr:sp macro="" textlink="">
            <xdr:nvSpPr>
              <xdr:cNvPr id="20" name="Textfeld 19">
                <a:extLst>
                  <a:ext uri="{FF2B5EF4-FFF2-40B4-BE49-F238E27FC236}">
                    <a16:creationId xmlns:a16="http://schemas.microsoft.com/office/drawing/2014/main" id="{7B14D5FC-9F01-4FC9-823A-728222046C80}"/>
                  </a:ext>
                </a:extLst>
              </xdr:cNvPr>
              <xdr:cNvSpPr txBox="1"/>
            </xdr:nvSpPr>
            <xdr:spPr>
              <a:xfrm>
                <a:off x="7015037" y="17451788"/>
                <a:ext cx="414462" cy="392264"/>
              </a:xfrm>
              <a:prstGeom prst="rect">
                <a:avLst/>
              </a:prstGeom>
              <a:solidFill>
                <a:srgbClr val="FBFBF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900" b="0" i="0">
                    <a:solidFill>
                      <a:schemeClr val="tx1">
                        <a:lumMod val="75000"/>
                        <a:lumOff val="25000"/>
                      </a:schemeClr>
                    </a:solidFill>
                    <a:latin typeface="Cambria Math" panose="02040503050406030204" pitchFamily="18" charset="0"/>
                    <a:ea typeface="Cambria Math" panose="02040503050406030204" pitchFamily="18" charset="0"/>
                  </a:rPr>
                  <a:t>𝜌_</a:t>
                </a:r>
                <a:r>
                  <a:rPr lang="de-DE" sz="900" b="0" i="0">
                    <a:solidFill>
                      <a:schemeClr val="tx1">
                        <a:lumMod val="75000"/>
                        <a:lumOff val="25000"/>
                      </a:schemeClr>
                    </a:solidFill>
                    <a:latin typeface="Cambria Math" panose="02040503050406030204" pitchFamily="18" charset="0"/>
                  </a:rPr>
                  <a:t>𝑀𝐴𝑇/</a:t>
                </a:r>
                <a:r>
                  <a:rPr lang="de-DE" sz="900" b="0" i="0">
                    <a:solidFill>
                      <a:schemeClr val="tx1">
                        <a:lumMod val="75000"/>
                        <a:lumOff val="25000"/>
                      </a:schemeClr>
                    </a:solidFill>
                    <a:effectLst/>
                    <a:latin typeface="+mn-lt"/>
                    <a:ea typeface="+mn-ea"/>
                    <a:cs typeface="+mn-cs"/>
                  </a:rPr>
                  <a:t>𝜌_</a:t>
                </a:r>
                <a:r>
                  <a:rPr lang="de-DE" sz="900" b="0" i="0">
                    <a:solidFill>
                      <a:schemeClr val="tx1">
                        <a:lumMod val="75000"/>
                        <a:lumOff val="25000"/>
                      </a:schemeClr>
                    </a:solidFill>
                    <a:effectLst/>
                    <a:latin typeface="Cambria Math" panose="02040503050406030204" pitchFamily="18" charset="0"/>
                    <a:ea typeface="+mn-ea"/>
                    <a:cs typeface="+mn-cs"/>
                  </a:rPr>
                  <a:t>𝑊 </a:t>
                </a:r>
                <a:endParaRPr lang="de-DE" sz="900" b="0">
                  <a:solidFill>
                    <a:schemeClr val="tx1">
                      <a:lumMod val="75000"/>
                      <a:lumOff val="25000"/>
                    </a:schemeClr>
                  </a:solidFill>
                  <a:latin typeface="Aptos Narrow" panose="020B0004020202020204" pitchFamily="34" charset="0"/>
                </a:endParaRPr>
              </a:p>
              <a:p>
                <a:endParaRPr lang="de-DE" sz="900">
                  <a:solidFill>
                    <a:schemeClr val="tx1">
                      <a:lumMod val="75000"/>
                      <a:lumOff val="25000"/>
                    </a:schemeClr>
                  </a:solidFill>
                  <a:latin typeface="Aptos Narrow" panose="020B0004020202020204" pitchFamily="34" charset="0"/>
                </a:endParaRPr>
              </a:p>
            </xdr:txBody>
          </xdr:sp>
        </mc:Fallback>
      </mc:AlternateContent>
    </xdr:grpSp>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E5B8C-C676-47C2-9D48-ED378CA6828E}">
  <sheetPr>
    <tabColor theme="1" tint="0.34998626667073579"/>
  </sheetPr>
  <dimension ref="A1:C29"/>
  <sheetViews>
    <sheetView showGridLines="0" tabSelected="1" zoomScale="130" zoomScaleNormal="130" workbookViewId="0">
      <selection activeCell="B9" sqref="B9"/>
    </sheetView>
  </sheetViews>
  <sheetFormatPr baseColWidth="10" defaultColWidth="11.5546875" defaultRowHeight="14.4" x14ac:dyDescent="0.3"/>
  <cols>
    <col min="1" max="1" width="8.88671875" style="5" customWidth="1"/>
    <col min="2" max="2" width="22.21875" style="5" customWidth="1"/>
    <col min="3" max="3" width="116.77734375" style="5" customWidth="1"/>
    <col min="4" max="7" width="8.88671875" style="5" customWidth="1"/>
    <col min="8" max="16384" width="11.5546875" style="5"/>
  </cols>
  <sheetData>
    <row r="1" spans="1:3" ht="18" customHeight="1" x14ac:dyDescent="0.3">
      <c r="A1" s="87" t="s">
        <v>45</v>
      </c>
      <c r="B1" s="87"/>
      <c r="C1" s="87"/>
    </row>
    <row r="2" spans="1:3" ht="18" customHeight="1" x14ac:dyDescent="0.3">
      <c r="A2" s="87"/>
      <c r="B2" s="87"/>
      <c r="C2" s="87"/>
    </row>
    <row r="3" spans="1:3" ht="18" customHeight="1" x14ac:dyDescent="0.3">
      <c r="A3" s="87"/>
      <c r="B3" s="87"/>
      <c r="C3" s="87"/>
    </row>
    <row r="4" spans="1:3" x14ac:dyDescent="0.3">
      <c r="A4" s="91" t="s">
        <v>59</v>
      </c>
      <c r="B4" s="91"/>
      <c r="C4" s="91"/>
    </row>
    <row r="5" spans="1:3" ht="7.95" customHeight="1" x14ac:dyDescent="0.3">
      <c r="A5" s="6"/>
      <c r="B5" s="6"/>
      <c r="C5" s="6"/>
    </row>
    <row r="6" spans="1:3" ht="32.4" customHeight="1" x14ac:dyDescent="0.3">
      <c r="A6" s="67"/>
      <c r="B6" s="86" t="s">
        <v>15</v>
      </c>
      <c r="C6" s="88" t="s">
        <v>66</v>
      </c>
    </row>
    <row r="7" spans="1:3" ht="43.2" customHeight="1" x14ac:dyDescent="0.3">
      <c r="A7" s="68"/>
      <c r="B7" s="68"/>
      <c r="C7" s="88"/>
    </row>
    <row r="8" spans="1:3" ht="9" customHeight="1" x14ac:dyDescent="0.3">
      <c r="A8" s="22"/>
      <c r="B8" s="22"/>
      <c r="C8" s="22"/>
    </row>
    <row r="9" spans="1:3" ht="33" customHeight="1" x14ac:dyDescent="0.3">
      <c r="A9" s="67"/>
      <c r="B9" s="86" t="s">
        <v>2</v>
      </c>
      <c r="C9" s="88" t="s">
        <v>46</v>
      </c>
    </row>
    <row r="10" spans="1:3" ht="33" customHeight="1" x14ac:dyDescent="0.3">
      <c r="A10" s="23"/>
      <c r="B10" s="23"/>
      <c r="C10" s="88"/>
    </row>
    <row r="11" spans="1:3" ht="33" customHeight="1" x14ac:dyDescent="0.3">
      <c r="A11" s="23"/>
      <c r="B11" s="23"/>
      <c r="C11" s="88"/>
    </row>
    <row r="12" spans="1:3" ht="11.4" customHeight="1" x14ac:dyDescent="0.3">
      <c r="A12" s="23"/>
      <c r="B12" s="23"/>
      <c r="C12" s="88"/>
    </row>
    <row r="13" spans="1:3" ht="9" customHeight="1" x14ac:dyDescent="0.3">
      <c r="A13" s="92"/>
      <c r="B13" s="92"/>
      <c r="C13" s="92"/>
    </row>
    <row r="14" spans="1:3" ht="33" customHeight="1" x14ac:dyDescent="0.3">
      <c r="A14" s="83"/>
      <c r="B14" s="85" t="s">
        <v>68</v>
      </c>
      <c r="C14" s="88" t="s">
        <v>67</v>
      </c>
    </row>
    <row r="15" spans="1:3" ht="18" customHeight="1" x14ac:dyDescent="0.3">
      <c r="A15" s="82"/>
      <c r="B15" s="82" t="s">
        <v>65</v>
      </c>
      <c r="C15" s="88"/>
    </row>
    <row r="16" spans="1:3" ht="9" customHeight="1" x14ac:dyDescent="0.3">
      <c r="A16" s="81"/>
      <c r="B16" s="81"/>
      <c r="C16" s="81"/>
    </row>
    <row r="17" spans="1:3" ht="18" customHeight="1" x14ac:dyDescent="0.3">
      <c r="A17" s="81"/>
      <c r="B17" s="81"/>
      <c r="C17" s="81"/>
    </row>
    <row r="18" spans="1:3" ht="18" customHeight="1" x14ac:dyDescent="0.3">
      <c r="A18" s="9"/>
      <c r="B18" s="9"/>
      <c r="C18" s="21"/>
    </row>
    <row r="19" spans="1:3" ht="18" customHeight="1" x14ac:dyDescent="0.3">
      <c r="A19" s="9"/>
      <c r="B19" s="9"/>
      <c r="C19" s="21"/>
    </row>
    <row r="20" spans="1:3" ht="18" customHeight="1" x14ac:dyDescent="0.3">
      <c r="A20" s="90"/>
      <c r="B20" s="90"/>
      <c r="C20" s="62"/>
    </row>
    <row r="21" spans="1:3" ht="18" customHeight="1" x14ac:dyDescent="0.3">
      <c r="A21" s="89"/>
      <c r="B21" s="89"/>
      <c r="C21" s="26"/>
    </row>
    <row r="22" spans="1:3" ht="18" customHeight="1" x14ac:dyDescent="0.3">
      <c r="A22" s="89"/>
      <c r="B22" s="89"/>
      <c r="C22" s="26"/>
    </row>
    <row r="23" spans="1:3" ht="18" customHeight="1" x14ac:dyDescent="0.3">
      <c r="A23" s="89"/>
      <c r="B23" s="89"/>
      <c r="C23" s="26"/>
    </row>
    <row r="24" spans="1:3" ht="18" customHeight="1" x14ac:dyDescent="0.3">
      <c r="A24" s="89"/>
      <c r="B24" s="89"/>
      <c r="C24" s="26"/>
    </row>
    <row r="25" spans="1:3" ht="18" customHeight="1" x14ac:dyDescent="0.3">
      <c r="A25" s="89"/>
      <c r="B25" s="89"/>
      <c r="C25" s="26"/>
    </row>
    <row r="26" spans="1:3" ht="18" customHeight="1" x14ac:dyDescent="0.3">
      <c r="A26" s="89"/>
      <c r="B26" s="89"/>
      <c r="C26" s="26"/>
    </row>
    <row r="27" spans="1:3" ht="18" customHeight="1" x14ac:dyDescent="0.3">
      <c r="A27" s="89"/>
      <c r="B27" s="89"/>
      <c r="C27" s="26"/>
    </row>
    <row r="28" spans="1:3" ht="18" customHeight="1" x14ac:dyDescent="0.3">
      <c r="A28" s="89"/>
      <c r="B28" s="89"/>
      <c r="C28" s="26"/>
    </row>
    <row r="29" spans="1:3" ht="18" customHeight="1" x14ac:dyDescent="0.3">
      <c r="A29" s="89"/>
      <c r="B29" s="89"/>
      <c r="C29" s="26"/>
    </row>
  </sheetData>
  <sheetProtection algorithmName="SHA-512" hashValue="fAi3mHSu35PMhYCLQRaGXnzKeGkomDoJ1GEwOT+hmxuFGdIhB4+1osJ5/PC6xwmxyNrnj643Zy0A1q/ssFJ9qQ==" saltValue="MBJcL2urYVAnmCA8Mq95BQ==" spinCount="100000" sheet="1" objects="1" scenarios="1" selectLockedCells="1"/>
  <mergeCells count="16">
    <mergeCell ref="A27:B27"/>
    <mergeCell ref="A28:B28"/>
    <mergeCell ref="A29:B29"/>
    <mergeCell ref="A23:B23"/>
    <mergeCell ref="A24:B24"/>
    <mergeCell ref="A25:B25"/>
    <mergeCell ref="A26:B26"/>
    <mergeCell ref="A1:C3"/>
    <mergeCell ref="C6:C7"/>
    <mergeCell ref="C9:C12"/>
    <mergeCell ref="A21:B21"/>
    <mergeCell ref="A22:B22"/>
    <mergeCell ref="A20:B20"/>
    <mergeCell ref="A4:C4"/>
    <mergeCell ref="A13:C13"/>
    <mergeCell ref="C14:C15"/>
  </mergeCells>
  <hyperlinks>
    <hyperlink ref="B6" location="Conversion!A1" display="Conversion" xr:uid="{18BC3AA2-E265-4C22-946F-4BDF18E0A9A9}"/>
    <hyperlink ref="B9" location="Calibration!A1" display="Calibration" xr:uid="{AEE7DAFD-A40C-4ADD-A4A9-AB856F6570CD}"/>
    <hyperlink ref="B14" location="'Soil Density Correction'!A1" display="Soil Density Correction" xr:uid="{6E153F62-928E-48C3-A68F-4D95A83E4D0E}"/>
  </hyperlinks>
  <pageMargins left="0.25" right="0.25" top="0.75" bottom="0.75" header="0.3" footer="0.3"/>
  <pageSetup paperSize="9" orientation="landscape" horizontalDpi="4294967293" vertic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285C3-9C2C-41CE-9B6B-C862E8FE2FEA}">
  <sheetPr>
    <tabColor rgb="FF007CAA"/>
    <outlinePr summaryBelow="0"/>
  </sheetPr>
  <dimension ref="A1:Q27"/>
  <sheetViews>
    <sheetView showGridLines="0" showRowColHeaders="0" zoomScale="130" zoomScaleNormal="130" workbookViewId="0">
      <selection activeCell="B8" sqref="B8"/>
      <extLst>
        <ext xmlns:xlsdti="http://schemas.microsoft.com/office/spreadsheetml/2023/showDataTypeIcons" uri="{77bfe23e-c014-4d31-8a63-9c772dbf06b6}">
          <xlsdti:showDataTypeIcons visible="0"/>
        </ext>
      </extLst>
    </sheetView>
  </sheetViews>
  <sheetFormatPr baseColWidth="10" defaultColWidth="11.5546875" defaultRowHeight="14.4" outlineLevelRow="1" x14ac:dyDescent="0.3"/>
  <cols>
    <col min="1" max="7" width="8.88671875" style="5" customWidth="1"/>
    <col min="8" max="8" width="6.6640625" style="5" customWidth="1"/>
    <col min="9" max="12" width="8.88671875" style="5" customWidth="1"/>
    <col min="13" max="13" width="2.33203125" style="5" customWidth="1"/>
    <col min="14" max="16" width="8.88671875" style="5" customWidth="1"/>
    <col min="17" max="17" width="8.77734375" style="5" customWidth="1"/>
    <col min="18" max="21" width="8.88671875" style="5" customWidth="1"/>
    <col min="22" max="16384" width="11.5546875" style="5"/>
  </cols>
  <sheetData>
    <row r="1" spans="1:17" ht="18" customHeight="1" x14ac:dyDescent="0.3">
      <c r="A1" s="87" t="s">
        <v>15</v>
      </c>
      <c r="B1" s="87"/>
      <c r="C1" s="87"/>
      <c r="D1" s="87"/>
      <c r="E1" s="87"/>
      <c r="F1" s="87"/>
      <c r="G1" s="87"/>
      <c r="H1" s="87"/>
      <c r="I1" s="87"/>
      <c r="J1" s="87"/>
      <c r="K1" s="87"/>
      <c r="L1" s="87"/>
      <c r="M1" s="87"/>
      <c r="N1" s="87"/>
      <c r="O1" s="87"/>
      <c r="P1" s="87"/>
      <c r="Q1" s="87"/>
    </row>
    <row r="2" spans="1:17" ht="18" customHeight="1" x14ac:dyDescent="0.3">
      <c r="A2" s="87"/>
      <c r="B2" s="87"/>
      <c r="C2" s="87"/>
      <c r="D2" s="87"/>
      <c r="E2" s="87"/>
      <c r="F2" s="87"/>
      <c r="G2" s="87"/>
      <c r="H2" s="87"/>
      <c r="I2" s="87"/>
      <c r="J2" s="87"/>
      <c r="K2" s="87"/>
      <c r="L2" s="87"/>
      <c r="M2" s="87"/>
      <c r="N2" s="87"/>
      <c r="O2" s="87"/>
      <c r="P2" s="87"/>
      <c r="Q2" s="87"/>
    </row>
    <row r="3" spans="1:17" ht="18" customHeight="1" x14ac:dyDescent="0.3">
      <c r="A3" s="87"/>
      <c r="B3" s="87"/>
      <c r="C3" s="87"/>
      <c r="D3" s="87"/>
      <c r="E3" s="87"/>
      <c r="F3" s="87"/>
      <c r="G3" s="87"/>
      <c r="H3" s="87"/>
      <c r="I3" s="87"/>
      <c r="J3" s="87"/>
      <c r="K3" s="87"/>
      <c r="L3" s="87"/>
      <c r="M3" s="87"/>
      <c r="N3" s="87"/>
      <c r="O3" s="87"/>
      <c r="P3" s="87"/>
      <c r="Q3" s="87"/>
    </row>
    <row r="4" spans="1:17" collapsed="1" x14ac:dyDescent="0.3">
      <c r="A4" s="91" t="s">
        <v>56</v>
      </c>
      <c r="B4" s="93"/>
      <c r="C4" s="93"/>
      <c r="D4" s="93"/>
      <c r="E4" s="93"/>
      <c r="F4" s="93"/>
      <c r="G4" s="93"/>
      <c r="H4" s="93"/>
      <c r="I4" s="93"/>
      <c r="J4" s="93"/>
      <c r="K4" s="93"/>
      <c r="L4" s="93"/>
      <c r="M4" s="93"/>
      <c r="N4" s="93"/>
      <c r="O4" s="93"/>
      <c r="P4" s="93"/>
      <c r="Q4" s="93"/>
    </row>
    <row r="5" spans="1:17" ht="115.95" hidden="1" customHeight="1" outlineLevel="1" x14ac:dyDescent="0.3">
      <c r="A5" s="99" t="s">
        <v>57</v>
      </c>
      <c r="B5" s="100"/>
      <c r="C5" s="100"/>
      <c r="D5" s="100"/>
      <c r="E5" s="100"/>
      <c r="F5" s="100"/>
      <c r="G5" s="100"/>
      <c r="H5" s="100"/>
      <c r="I5" s="100"/>
      <c r="J5" s="100"/>
      <c r="K5" s="100"/>
      <c r="L5" s="100"/>
      <c r="M5" s="100"/>
      <c r="N5" s="100"/>
      <c r="O5" s="100"/>
      <c r="P5" s="100"/>
      <c r="Q5" s="100"/>
    </row>
    <row r="6" spans="1:17" ht="6" customHeight="1" collapsed="1" x14ac:dyDescent="0.3">
      <c r="A6" s="6"/>
      <c r="B6" s="6"/>
      <c r="C6" s="6"/>
      <c r="D6" s="6"/>
      <c r="E6" s="6"/>
      <c r="F6" s="6"/>
      <c r="G6" s="6"/>
      <c r="H6" s="6"/>
      <c r="I6" s="6"/>
      <c r="J6" s="6"/>
      <c r="K6" s="6"/>
      <c r="L6" s="6"/>
      <c r="M6" s="6"/>
      <c r="N6" s="6"/>
      <c r="O6" s="6"/>
      <c r="P6" s="6"/>
      <c r="Q6" s="6"/>
    </row>
    <row r="7" spans="1:17" ht="18" customHeight="1" x14ac:dyDescent="0.3">
      <c r="A7" s="78"/>
      <c r="B7" s="78" t="s">
        <v>16</v>
      </c>
      <c r="C7" s="78"/>
      <c r="D7" s="22"/>
      <c r="E7" s="94" t="s">
        <v>49</v>
      </c>
      <c r="F7" s="94"/>
      <c r="G7" s="94"/>
      <c r="H7" s="6"/>
      <c r="I7" s="98" t="s">
        <v>55</v>
      </c>
      <c r="J7" s="98"/>
      <c r="K7" s="98"/>
      <c r="L7" s="98"/>
      <c r="M7" s="98"/>
      <c r="N7" s="98"/>
      <c r="O7" s="98"/>
      <c r="P7" s="98"/>
      <c r="Q7" s="98"/>
    </row>
    <row r="8" spans="1:17" ht="18" customHeight="1" x14ac:dyDescent="0.3">
      <c r="A8" s="20" t="s">
        <v>18</v>
      </c>
      <c r="B8" s="134">
        <v>0.2</v>
      </c>
      <c r="C8" s="79" t="s">
        <v>19</v>
      </c>
      <c r="D8" s="9"/>
      <c r="E8" s="135" t="s">
        <v>50</v>
      </c>
      <c r="F8" s="136"/>
      <c r="G8" s="137"/>
      <c r="H8" s="6"/>
      <c r="I8" s="73" t="s">
        <v>23</v>
      </c>
      <c r="J8" s="73"/>
      <c r="K8" s="74">
        <v>1.6</v>
      </c>
      <c r="L8" s="75" t="s">
        <v>54</v>
      </c>
      <c r="M8" s="75"/>
      <c r="N8" s="73" t="s">
        <v>27</v>
      </c>
      <c r="O8" s="73"/>
      <c r="P8" s="74">
        <v>0.2</v>
      </c>
      <c r="Q8" s="75" t="s">
        <v>54</v>
      </c>
    </row>
    <row r="9" spans="1:17" ht="18" customHeight="1" x14ac:dyDescent="0.3">
      <c r="A9" s="23" t="s">
        <v>17</v>
      </c>
      <c r="B9" s="23">
        <v>1</v>
      </c>
      <c r="C9" s="23" t="s">
        <v>19</v>
      </c>
      <c r="D9" s="9"/>
      <c r="E9" s="9"/>
      <c r="F9" s="6"/>
      <c r="G9" s="6"/>
      <c r="H9" s="6"/>
      <c r="I9" s="73" t="s">
        <v>24</v>
      </c>
      <c r="J9" s="73"/>
      <c r="K9" s="74">
        <v>1.4</v>
      </c>
      <c r="L9" s="75" t="s">
        <v>54</v>
      </c>
      <c r="M9" s="75"/>
      <c r="N9" s="73" t="s">
        <v>28</v>
      </c>
      <c r="O9" s="73"/>
      <c r="P9" s="74">
        <v>0.3</v>
      </c>
      <c r="Q9" s="75" t="s">
        <v>54</v>
      </c>
    </row>
    <row r="10" spans="1:17" ht="18" customHeight="1" x14ac:dyDescent="0.3">
      <c r="A10" s="9"/>
      <c r="B10" s="9"/>
      <c r="C10" s="21"/>
      <c r="D10" s="9"/>
      <c r="E10" s="9"/>
      <c r="F10" s="6"/>
      <c r="G10" s="6"/>
      <c r="H10" s="6"/>
      <c r="I10" s="73" t="s">
        <v>26</v>
      </c>
      <c r="J10" s="73"/>
      <c r="K10" s="74">
        <v>1.35</v>
      </c>
      <c r="L10" s="75" t="s">
        <v>54</v>
      </c>
      <c r="M10" s="75"/>
      <c r="N10" s="73" t="s">
        <v>29</v>
      </c>
      <c r="O10" s="73"/>
      <c r="P10" s="74">
        <v>0.3</v>
      </c>
      <c r="Q10" s="75" t="s">
        <v>54</v>
      </c>
    </row>
    <row r="11" spans="1:17" ht="18" customHeight="1" x14ac:dyDescent="0.3">
      <c r="A11" s="94" t="s">
        <v>20</v>
      </c>
      <c r="B11" s="94"/>
      <c r="C11" s="94"/>
      <c r="D11" s="9"/>
      <c r="E11" s="94" t="s">
        <v>21</v>
      </c>
      <c r="F11" s="94"/>
      <c r="G11" s="94"/>
      <c r="H11" s="6"/>
      <c r="I11" s="73" t="s">
        <v>25</v>
      </c>
      <c r="J11" s="73"/>
      <c r="K11" s="74">
        <v>1.3</v>
      </c>
      <c r="L11" s="75" t="s">
        <v>54</v>
      </c>
      <c r="M11" s="75"/>
      <c r="N11" s="73" t="s">
        <v>30</v>
      </c>
      <c r="O11" s="73"/>
      <c r="P11" s="74">
        <v>0.75</v>
      </c>
      <c r="Q11" s="75" t="s">
        <v>54</v>
      </c>
    </row>
    <row r="12" spans="1:17" ht="18" customHeight="1" x14ac:dyDescent="0.3">
      <c r="A12" s="95" t="s">
        <v>48</v>
      </c>
      <c r="B12" s="96"/>
      <c r="C12" s="97"/>
      <c r="D12" s="9"/>
      <c r="E12" s="101" t="str">
        <f>IF(A12="Gravimetric","Volumentric","Gravimetric")</f>
        <v>Gravimetric</v>
      </c>
      <c r="F12" s="102"/>
      <c r="G12" s="103"/>
      <c r="H12" s="6"/>
      <c r="I12" s="76"/>
      <c r="J12" s="77"/>
      <c r="K12" s="77"/>
      <c r="L12" s="77"/>
      <c r="M12" s="77"/>
      <c r="N12" s="73" t="s">
        <v>31</v>
      </c>
      <c r="O12" s="73"/>
      <c r="P12" s="74">
        <v>0.72</v>
      </c>
      <c r="Q12" s="75" t="s">
        <v>54</v>
      </c>
    </row>
    <row r="13" spans="1:17" ht="18" customHeight="1" x14ac:dyDescent="0.3">
      <c r="A13" s="125">
        <v>0.25</v>
      </c>
      <c r="B13" s="126"/>
      <c r="C13" s="127"/>
      <c r="D13" s="9"/>
      <c r="E13" s="104">
        <f>IF(AND(E12="Volumentric",E8="Wet Material"),((A13*B8)/((A13*B8)+(1-A13)*B9)),IF(AND(E12="Volumentric",E8="Dry Material"),A13*B8/B9,IF(AND(E12="Gravimetric",E8="Wet Material"),((A13*B9)/((A13*B9)+(1-A13)*B8)),A13*B9/B8)))</f>
        <v>1.25</v>
      </c>
      <c r="F13" s="105"/>
      <c r="G13" s="106"/>
      <c r="H13" s="6"/>
      <c r="I13" s="76"/>
      <c r="J13" s="77"/>
      <c r="K13" s="77"/>
      <c r="L13" s="77"/>
      <c r="M13" s="77"/>
      <c r="N13" s="77"/>
      <c r="O13" s="77"/>
      <c r="P13" s="77"/>
      <c r="Q13" s="77"/>
    </row>
    <row r="14" spans="1:17" ht="18" customHeight="1" x14ac:dyDescent="0.3">
      <c r="A14" s="128"/>
      <c r="B14" s="129"/>
      <c r="C14" s="130"/>
      <c r="D14" s="9"/>
      <c r="E14" s="107"/>
      <c r="F14" s="108"/>
      <c r="G14" s="109"/>
      <c r="H14" s="6"/>
      <c r="I14" s="76"/>
      <c r="J14" s="77"/>
      <c r="K14" s="77"/>
      <c r="L14" s="77"/>
      <c r="M14" s="77"/>
      <c r="N14" s="77"/>
      <c r="O14" s="77"/>
      <c r="P14" s="77"/>
      <c r="Q14" s="77"/>
    </row>
    <row r="15" spans="1:17" ht="18" customHeight="1" x14ac:dyDescent="0.3">
      <c r="A15" s="131"/>
      <c r="B15" s="132"/>
      <c r="C15" s="133"/>
      <c r="D15" s="9"/>
      <c r="E15" s="110"/>
      <c r="F15" s="111"/>
      <c r="G15" s="112"/>
      <c r="H15" s="6"/>
      <c r="I15" s="76"/>
      <c r="J15" s="77"/>
      <c r="K15" s="77"/>
      <c r="L15" s="77"/>
      <c r="M15" s="77"/>
      <c r="N15" s="77"/>
      <c r="O15" s="77"/>
      <c r="P15" s="77"/>
      <c r="Q15" s="77"/>
    </row>
    <row r="16" spans="1:17" ht="18" customHeight="1" x14ac:dyDescent="0.3">
      <c r="A16" s="9"/>
      <c r="B16" s="9"/>
      <c r="C16" s="21"/>
      <c r="D16" s="9"/>
      <c r="E16" s="9"/>
      <c r="F16" s="6"/>
      <c r="G16" s="6"/>
      <c r="H16" s="6"/>
      <c r="I16" s="9"/>
      <c r="J16" s="6"/>
      <c r="K16" s="6"/>
      <c r="L16" s="6"/>
      <c r="M16" s="6"/>
      <c r="N16" s="6"/>
      <c r="O16" s="6"/>
      <c r="P16" s="6"/>
      <c r="Q16" s="6"/>
    </row>
    <row r="17" spans="1:17" ht="18" customHeight="1" x14ac:dyDescent="0.3">
      <c r="A17" s="9"/>
      <c r="B17" s="9"/>
      <c r="C17" s="21"/>
      <c r="D17" s="9"/>
      <c r="E17" s="9"/>
      <c r="F17" s="6"/>
      <c r="G17" s="6"/>
      <c r="H17" s="6"/>
      <c r="I17" s="9"/>
      <c r="J17" s="6"/>
      <c r="K17" s="6"/>
      <c r="L17" s="6"/>
      <c r="M17" s="6"/>
      <c r="N17" s="6"/>
      <c r="O17" s="6"/>
      <c r="P17" s="6"/>
      <c r="Q17" s="6"/>
    </row>
    <row r="18" spans="1:17" ht="18" customHeight="1" x14ac:dyDescent="0.3">
      <c r="A18" s="90"/>
      <c r="B18" s="90"/>
      <c r="C18" s="113"/>
      <c r="D18" s="113"/>
      <c r="E18" s="9"/>
      <c r="F18" s="90"/>
      <c r="G18" s="90"/>
      <c r="H18" s="113"/>
      <c r="I18" s="113"/>
      <c r="J18" s="6"/>
      <c r="K18" s="6"/>
      <c r="L18" s="6"/>
      <c r="M18" s="6"/>
      <c r="N18" s="6"/>
      <c r="O18" s="6"/>
      <c r="P18" s="6"/>
      <c r="Q18" s="6"/>
    </row>
    <row r="19" spans="1:17" ht="18" customHeight="1" x14ac:dyDescent="0.3">
      <c r="A19" s="6"/>
      <c r="B19" s="6"/>
      <c r="C19" s="6"/>
      <c r="D19" s="6"/>
      <c r="E19" s="9"/>
      <c r="F19" s="6"/>
      <c r="G19" s="6"/>
      <c r="H19" s="6"/>
      <c r="I19" s="6"/>
      <c r="J19" s="6"/>
      <c r="K19" s="6"/>
      <c r="L19" s="6"/>
      <c r="M19" s="6"/>
      <c r="N19" s="6"/>
      <c r="O19" s="6"/>
      <c r="P19" s="6"/>
      <c r="Q19" s="6"/>
    </row>
    <row r="20" spans="1:17" ht="18" customHeight="1" x14ac:dyDescent="0.3">
      <c r="A20" s="6"/>
      <c r="B20" s="6"/>
      <c r="C20" s="6"/>
      <c r="D20" s="6"/>
      <c r="E20" s="9"/>
      <c r="F20" s="6"/>
      <c r="G20" s="6"/>
      <c r="H20" s="6"/>
      <c r="I20" s="6"/>
      <c r="J20" s="6"/>
      <c r="K20" s="6"/>
      <c r="L20" s="6"/>
      <c r="M20" s="6"/>
      <c r="N20" s="6"/>
      <c r="O20" s="6"/>
      <c r="P20" s="6"/>
      <c r="Q20" s="6"/>
    </row>
    <row r="21" spans="1:17" ht="18" customHeight="1" x14ac:dyDescent="0.3">
      <c r="A21" s="6"/>
      <c r="B21" s="6"/>
      <c r="C21" s="6"/>
      <c r="D21" s="6"/>
      <c r="E21" s="9"/>
      <c r="F21" s="6"/>
      <c r="G21" s="6"/>
      <c r="H21" s="6"/>
      <c r="I21" s="6"/>
      <c r="J21" s="6"/>
      <c r="K21" s="6"/>
      <c r="L21" s="6"/>
      <c r="M21" s="6"/>
      <c r="N21" s="6"/>
      <c r="O21" s="6"/>
      <c r="P21" s="6"/>
      <c r="Q21" s="6"/>
    </row>
    <row r="22" spans="1:17" ht="18" customHeight="1" x14ac:dyDescent="0.3">
      <c r="A22" s="6"/>
      <c r="B22" s="6"/>
      <c r="C22" s="6"/>
      <c r="D22" s="6"/>
      <c r="E22" s="9"/>
      <c r="F22" s="6"/>
      <c r="G22" s="6"/>
      <c r="H22" s="6"/>
      <c r="I22" s="6"/>
      <c r="J22" s="6"/>
      <c r="K22" s="6"/>
      <c r="L22" s="6"/>
      <c r="M22" s="6"/>
      <c r="N22" s="6"/>
      <c r="O22" s="6"/>
      <c r="P22" s="6"/>
      <c r="Q22" s="6"/>
    </row>
    <row r="23" spans="1:17" ht="18" customHeight="1" x14ac:dyDescent="0.3">
      <c r="A23" s="6"/>
      <c r="B23" s="6"/>
      <c r="C23" s="6"/>
      <c r="D23" s="6"/>
      <c r="E23" s="9"/>
      <c r="F23" s="6"/>
      <c r="G23" s="6"/>
      <c r="H23" s="6"/>
      <c r="I23" s="6"/>
      <c r="J23" s="6"/>
      <c r="K23" s="6"/>
      <c r="L23" s="6"/>
      <c r="M23" s="6"/>
      <c r="N23" s="6"/>
      <c r="O23" s="6"/>
      <c r="P23" s="6"/>
      <c r="Q23" s="6"/>
    </row>
    <row r="24" spans="1:17" ht="18" customHeight="1" x14ac:dyDescent="0.3">
      <c r="A24" s="63"/>
      <c r="B24" s="63"/>
      <c r="C24" s="26"/>
      <c r="D24" s="27"/>
      <c r="E24" s="9"/>
      <c r="F24" s="6"/>
      <c r="G24" s="6"/>
      <c r="H24" s="6"/>
      <c r="I24" s="6"/>
      <c r="J24" s="6"/>
      <c r="K24" s="6"/>
      <c r="L24" s="6"/>
      <c r="M24" s="6"/>
      <c r="N24" s="6"/>
      <c r="O24" s="6"/>
      <c r="P24" s="6"/>
      <c r="Q24" s="6"/>
    </row>
    <row r="25" spans="1:17" ht="18" customHeight="1" x14ac:dyDescent="0.3">
      <c r="A25" s="89"/>
      <c r="B25" s="89"/>
      <c r="C25" s="26"/>
      <c r="D25" s="27"/>
      <c r="E25" s="9"/>
      <c r="F25" s="89"/>
      <c r="G25" s="89"/>
      <c r="H25" s="26"/>
      <c r="I25" s="27"/>
      <c r="J25" s="6"/>
      <c r="K25" s="6"/>
      <c r="L25" s="6"/>
      <c r="M25" s="6"/>
      <c r="N25" s="6"/>
      <c r="O25" s="6"/>
      <c r="P25" s="6"/>
      <c r="Q25" s="6"/>
    </row>
    <row r="26" spans="1:17" ht="18" customHeight="1" x14ac:dyDescent="0.3">
      <c r="A26" s="89"/>
      <c r="B26" s="89"/>
      <c r="C26" s="26"/>
      <c r="D26" s="27"/>
      <c r="E26" s="9"/>
      <c r="F26" s="89"/>
      <c r="G26" s="89"/>
      <c r="H26" s="26"/>
      <c r="I26" s="27"/>
      <c r="J26" s="6"/>
      <c r="K26" s="6"/>
      <c r="L26" s="6"/>
      <c r="M26" s="6"/>
      <c r="N26" s="6"/>
      <c r="O26" s="6"/>
      <c r="P26" s="6"/>
      <c r="Q26" s="6"/>
    </row>
    <row r="27" spans="1:17" ht="18" customHeight="1" x14ac:dyDescent="0.3">
      <c r="A27" s="89"/>
      <c r="B27" s="89"/>
      <c r="C27" s="26"/>
      <c r="D27" s="27"/>
      <c r="E27" s="9"/>
      <c r="F27" s="89"/>
      <c r="G27" s="89"/>
      <c r="H27" s="26"/>
      <c r="I27" s="27"/>
      <c r="J27" s="6"/>
      <c r="K27" s="6"/>
      <c r="L27" s="6"/>
      <c r="M27" s="6"/>
      <c r="N27" s="6"/>
      <c r="O27" s="6"/>
      <c r="P27" s="6"/>
      <c r="Q27" s="6"/>
    </row>
  </sheetData>
  <sheetProtection algorithmName="SHA-512" hashValue="hqceioDBZpFHsb+AxCzIzR88Ibtb+w7u/Nd/ycr5Q8BxOR66IDJB3/q1bznxCxIS6Lu643I5ZNtF47aF5JCQVQ==" saltValue="NIBlcHY8NydAhhcZcNBvQQ==" spinCount="100000" sheet="1" objects="1" scenarios="1" formatRows="0" selectLockedCells="1"/>
  <mergeCells count="22">
    <mergeCell ref="H18:I18"/>
    <mergeCell ref="C18:D18"/>
    <mergeCell ref="F27:G27"/>
    <mergeCell ref="A27:B27"/>
    <mergeCell ref="A26:B26"/>
    <mergeCell ref="A25:B25"/>
    <mergeCell ref="F26:G26"/>
    <mergeCell ref="F25:G25"/>
    <mergeCell ref="A18:B18"/>
    <mergeCell ref="A13:C15"/>
    <mergeCell ref="E12:G12"/>
    <mergeCell ref="E13:G15"/>
    <mergeCell ref="A12:C12"/>
    <mergeCell ref="F18:G18"/>
    <mergeCell ref="A1:Q3"/>
    <mergeCell ref="A4:Q4"/>
    <mergeCell ref="A11:C11"/>
    <mergeCell ref="E11:G11"/>
    <mergeCell ref="E8:G8"/>
    <mergeCell ref="E7:G7"/>
    <mergeCell ref="I7:Q7"/>
    <mergeCell ref="A5:Q5"/>
  </mergeCells>
  <conditionalFormatting sqref="D8:D10 E9:E10 D12:D15 I12:I17 D16:E17 E18 E24:E27">
    <cfRule type="expression" dxfId="6" priority="2">
      <formula>OR($B8="",$C8="")</formula>
    </cfRule>
  </conditionalFormatting>
  <conditionalFormatting sqref="D11">
    <cfRule type="expression" dxfId="5" priority="4">
      <formula>OR($A11="",$C11="")</formula>
    </cfRule>
  </conditionalFormatting>
  <conditionalFormatting sqref="E19:E23">
    <cfRule type="expression" dxfId="4" priority="11">
      <formula>OR($J7="",$K7="")</formula>
    </cfRule>
  </conditionalFormatting>
  <dataValidations count="2">
    <dataValidation type="list" allowBlank="1" showInputMessage="1" showErrorMessage="1" sqref="A12" xr:uid="{778D4E79-65C5-4C90-8F3A-69E82635E52D}">
      <formula1>"Gravimetric,Volumetric"</formula1>
    </dataValidation>
    <dataValidation type="list" allowBlank="1" showInputMessage="1" showErrorMessage="1" sqref="E8:G8" xr:uid="{B476B308-F4FA-445C-B6E9-73B1209CC72B}">
      <formula1>"Wet Material,Dry Material"</formula1>
    </dataValidation>
  </dataValidations>
  <pageMargins left="0.25" right="0.25" top="0.75" bottom="0.75" header="0.3" footer="0.3"/>
  <pageSetup paperSize="9" orientation="landscape" horizontalDpi="4294967293" verticalDpi="4294967293"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318E3-E7AA-4958-9A66-6AAB3BBE56A8}">
  <sheetPr>
    <tabColor rgb="FF007CAA"/>
    <outlinePr summaryBelow="0"/>
  </sheetPr>
  <dimension ref="A1:Q29"/>
  <sheetViews>
    <sheetView showGridLines="0" showRowColHeaders="0" zoomScale="130" zoomScaleNormal="130" workbookViewId="0">
      <selection activeCell="B20" sqref="B20"/>
    </sheetView>
  </sheetViews>
  <sheetFormatPr baseColWidth="10" defaultColWidth="11.5546875" defaultRowHeight="14.4" outlineLevelRow="1" x14ac:dyDescent="0.3"/>
  <cols>
    <col min="1" max="4" width="8.88671875" style="5" customWidth="1"/>
    <col min="5" max="5" width="5" style="5" customWidth="1"/>
    <col min="6" max="6" width="18.88671875" style="5" customWidth="1"/>
    <col min="7" max="13" width="8.88671875" style="5" customWidth="1"/>
    <col min="14" max="14" width="11.109375" style="5" customWidth="1"/>
    <col min="15" max="15" width="9.33203125" style="5" customWidth="1"/>
    <col min="16" max="19" width="8.88671875" style="5" customWidth="1"/>
    <col min="20" max="16384" width="11.5546875" style="5"/>
  </cols>
  <sheetData>
    <row r="1" spans="1:17" ht="18" customHeight="1" x14ac:dyDescent="0.3">
      <c r="A1" s="87" t="s">
        <v>2</v>
      </c>
      <c r="B1" s="87"/>
      <c r="C1" s="87"/>
      <c r="D1" s="87"/>
      <c r="E1" s="87"/>
      <c r="F1" s="87"/>
      <c r="G1" s="87"/>
      <c r="H1" s="87"/>
      <c r="I1" s="87"/>
      <c r="J1" s="87"/>
      <c r="K1" s="87"/>
      <c r="L1" s="87"/>
      <c r="M1" s="87"/>
      <c r="N1" s="87"/>
      <c r="O1" s="87"/>
    </row>
    <row r="2" spans="1:17" ht="18" customHeight="1" x14ac:dyDescent="0.3">
      <c r="A2" s="87"/>
      <c r="B2" s="87"/>
      <c r="C2" s="87"/>
      <c r="D2" s="87"/>
      <c r="E2" s="87"/>
      <c r="F2" s="87"/>
      <c r="G2" s="87"/>
      <c r="H2" s="87"/>
      <c r="I2" s="87"/>
      <c r="J2" s="87"/>
      <c r="K2" s="87"/>
      <c r="L2" s="87"/>
      <c r="M2" s="87"/>
      <c r="N2" s="87"/>
      <c r="O2" s="87"/>
    </row>
    <row r="3" spans="1:17" ht="18" customHeight="1" x14ac:dyDescent="0.3">
      <c r="A3" s="87"/>
      <c r="B3" s="87"/>
      <c r="C3" s="87"/>
      <c r="D3" s="87"/>
      <c r="E3" s="87"/>
      <c r="F3" s="87"/>
      <c r="G3" s="87"/>
      <c r="H3" s="87"/>
      <c r="I3" s="87"/>
      <c r="J3" s="87"/>
      <c r="K3" s="87"/>
      <c r="L3" s="87"/>
      <c r="M3" s="87"/>
      <c r="N3" s="87"/>
      <c r="O3" s="87"/>
    </row>
    <row r="4" spans="1:17" collapsed="1" x14ac:dyDescent="0.3">
      <c r="A4" s="91" t="s">
        <v>56</v>
      </c>
      <c r="B4" s="91"/>
      <c r="C4" s="91"/>
      <c r="D4" s="91"/>
      <c r="E4" s="91"/>
      <c r="F4" s="91"/>
      <c r="G4" s="91"/>
      <c r="H4" s="91"/>
      <c r="I4" s="91"/>
      <c r="J4" s="91"/>
      <c r="K4" s="91"/>
      <c r="L4" s="91"/>
      <c r="M4" s="91"/>
      <c r="N4" s="91"/>
      <c r="O4" s="91"/>
    </row>
    <row r="5" spans="1:17" ht="213.6" hidden="1" customHeight="1" outlineLevel="1" x14ac:dyDescent="0.3">
      <c r="A5" s="99" t="s">
        <v>58</v>
      </c>
      <c r="B5" s="100"/>
      <c r="C5" s="100"/>
      <c r="D5" s="100"/>
      <c r="E5" s="100"/>
      <c r="F5" s="100"/>
      <c r="G5" s="100"/>
      <c r="H5" s="100"/>
      <c r="I5" s="100"/>
      <c r="J5" s="100"/>
      <c r="K5" s="100"/>
      <c r="L5" s="100"/>
      <c r="M5" s="100"/>
      <c r="N5" s="100"/>
      <c r="O5" s="100"/>
      <c r="P5" s="100"/>
      <c r="Q5" s="100"/>
    </row>
    <row r="6" spans="1:17" ht="6" customHeight="1" x14ac:dyDescent="0.3">
      <c r="A6" s="12"/>
      <c r="B6" s="12"/>
      <c r="C6" s="12"/>
      <c r="D6" s="12"/>
      <c r="E6" s="6"/>
      <c r="F6" s="12"/>
      <c r="G6" s="12"/>
      <c r="H6" s="12"/>
      <c r="I6" s="12"/>
      <c r="J6" s="12"/>
      <c r="K6" s="12"/>
      <c r="L6" s="12"/>
      <c r="M6" s="6"/>
      <c r="N6" s="6"/>
      <c r="O6" s="6"/>
    </row>
    <row r="7" spans="1:17" ht="18" customHeight="1" thickBot="1" x14ac:dyDescent="0.35">
      <c r="A7" s="7" t="s">
        <v>3</v>
      </c>
      <c r="B7" s="8" t="s">
        <v>4</v>
      </c>
      <c r="C7" s="8" t="s">
        <v>5</v>
      </c>
      <c r="D7" s="7" t="s">
        <v>6</v>
      </c>
      <c r="E7" s="14"/>
      <c r="F7" s="15" t="s">
        <v>1</v>
      </c>
      <c r="G7" s="16" t="s">
        <v>7</v>
      </c>
      <c r="H7" s="16" t="s">
        <v>8</v>
      </c>
      <c r="I7" s="16" t="s">
        <v>9</v>
      </c>
      <c r="J7" s="16" t="s">
        <v>10</v>
      </c>
      <c r="K7" s="16" t="s">
        <v>11</v>
      </c>
      <c r="L7" s="17" t="s">
        <v>12</v>
      </c>
      <c r="M7" s="6"/>
      <c r="N7" s="9"/>
      <c r="O7" s="9"/>
    </row>
    <row r="8" spans="1:17" ht="18" customHeight="1" thickBot="1" x14ac:dyDescent="0.35">
      <c r="A8" s="10" t="s">
        <v>14</v>
      </c>
      <c r="B8" s="64">
        <v>60</v>
      </c>
      <c r="C8" s="65">
        <v>-3</v>
      </c>
      <c r="D8" s="54" t="s">
        <v>0</v>
      </c>
      <c r="E8" s="6"/>
      <c r="F8" s="84" t="s">
        <v>22</v>
      </c>
      <c r="G8" s="18">
        <f>Tools!C44</f>
        <v>-8.678481012658219</v>
      </c>
      <c r="H8" s="18">
        <f>Tools!D44</f>
        <v>9.4936708860759458E-2</v>
      </c>
      <c r="I8" s="18">
        <f>Tools!E44*100</f>
        <v>0</v>
      </c>
      <c r="J8" s="18">
        <f>Tools!F44*100</f>
        <v>0</v>
      </c>
      <c r="K8" s="18">
        <f>Tools!G44*100</f>
        <v>0</v>
      </c>
      <c r="L8" s="19">
        <f>Tools!H44*100</f>
        <v>0</v>
      </c>
      <c r="M8" s="6"/>
      <c r="N8" s="6"/>
      <c r="O8" s="6"/>
    </row>
    <row r="9" spans="1:17" ht="18" customHeight="1" x14ac:dyDescent="0.3">
      <c r="A9" s="11">
        <v>1</v>
      </c>
      <c r="B9" s="55">
        <v>150</v>
      </c>
      <c r="C9" s="56">
        <v>5.6</v>
      </c>
      <c r="D9" s="57" t="s">
        <v>0</v>
      </c>
      <c r="E9" s="6"/>
      <c r="F9" s="20" t="s">
        <v>36</v>
      </c>
      <c r="G9" s="61">
        <v>10</v>
      </c>
      <c r="H9" s="6"/>
      <c r="I9" s="6"/>
      <c r="J9" s="6"/>
      <c r="K9" s="6"/>
      <c r="L9" s="6"/>
      <c r="N9" s="69" t="s">
        <v>47</v>
      </c>
      <c r="O9" s="70">
        <f>Tools!R22</f>
        <v>0.99992320589778705</v>
      </c>
    </row>
    <row r="10" spans="1:17" ht="18" customHeight="1" x14ac:dyDescent="0.3">
      <c r="A10" s="11">
        <v>2</v>
      </c>
      <c r="B10" s="55">
        <v>170</v>
      </c>
      <c r="C10" s="56">
        <v>7.5</v>
      </c>
      <c r="D10" s="57" t="s">
        <v>0</v>
      </c>
      <c r="E10" s="6"/>
      <c r="F10" s="6"/>
      <c r="G10" s="6"/>
      <c r="H10" s="6"/>
      <c r="I10" s="6"/>
      <c r="J10" s="6"/>
      <c r="K10" s="6"/>
      <c r="L10" s="6"/>
      <c r="M10" s="6"/>
      <c r="N10" s="6"/>
      <c r="O10" s="6"/>
    </row>
    <row r="11" spans="1:17" ht="18" customHeight="1" x14ac:dyDescent="0.3">
      <c r="A11" s="11">
        <v>3</v>
      </c>
      <c r="B11" s="55">
        <v>190</v>
      </c>
      <c r="C11" s="56">
        <v>9.3000000000000007</v>
      </c>
      <c r="D11" s="57" t="s">
        <v>0</v>
      </c>
      <c r="E11" s="6"/>
      <c r="F11" s="6"/>
      <c r="G11" s="6"/>
      <c r="H11" s="6"/>
      <c r="I11" s="6"/>
      <c r="J11" s="6"/>
      <c r="K11" s="6"/>
      <c r="L11" s="6"/>
      <c r="M11" s="6"/>
      <c r="N11" s="6"/>
      <c r="O11" s="6"/>
    </row>
    <row r="12" spans="1:17" ht="18" customHeight="1" x14ac:dyDescent="0.3">
      <c r="A12" s="11">
        <v>4</v>
      </c>
      <c r="B12" s="55">
        <v>195</v>
      </c>
      <c r="C12" s="56">
        <v>7</v>
      </c>
      <c r="D12" s="57" t="s">
        <v>32</v>
      </c>
      <c r="E12" s="6"/>
      <c r="F12" s="6"/>
      <c r="G12" s="6"/>
      <c r="H12" s="6"/>
      <c r="I12" s="6"/>
      <c r="J12" s="6"/>
      <c r="K12" s="6"/>
      <c r="L12" s="6"/>
      <c r="M12" s="6"/>
      <c r="N12" s="6"/>
      <c r="O12" s="6"/>
    </row>
    <row r="13" spans="1:17" ht="18" customHeight="1" x14ac:dyDescent="0.3">
      <c r="A13" s="11">
        <v>5</v>
      </c>
      <c r="B13" s="55"/>
      <c r="C13" s="56"/>
      <c r="D13" s="57" t="s">
        <v>0</v>
      </c>
      <c r="E13" s="6"/>
      <c r="F13" s="6"/>
      <c r="G13" s="6"/>
      <c r="H13" s="6"/>
      <c r="I13" s="6"/>
      <c r="J13" s="6"/>
      <c r="K13" s="6"/>
      <c r="L13" s="6"/>
      <c r="M13" s="6"/>
      <c r="N13" s="6"/>
      <c r="O13" s="6"/>
    </row>
    <row r="14" spans="1:17" ht="18" customHeight="1" x14ac:dyDescent="0.3">
      <c r="A14" s="11">
        <v>6</v>
      </c>
      <c r="B14" s="55"/>
      <c r="C14" s="56"/>
      <c r="D14" s="57" t="s">
        <v>0</v>
      </c>
      <c r="E14" s="6"/>
      <c r="F14" s="6"/>
      <c r="G14" s="6"/>
      <c r="H14" s="6"/>
      <c r="I14" s="6"/>
      <c r="J14" s="6"/>
      <c r="K14" s="6"/>
      <c r="L14" s="6"/>
      <c r="M14" s="6"/>
      <c r="N14" s="6"/>
      <c r="O14" s="6"/>
    </row>
    <row r="15" spans="1:17" ht="18" customHeight="1" x14ac:dyDescent="0.3">
      <c r="A15" s="11">
        <v>7</v>
      </c>
      <c r="B15" s="55"/>
      <c r="C15" s="56"/>
      <c r="D15" s="57" t="s">
        <v>0</v>
      </c>
      <c r="E15" s="6"/>
      <c r="F15" s="6"/>
      <c r="G15" s="6"/>
      <c r="H15" s="6"/>
      <c r="I15" s="6"/>
      <c r="J15" s="6"/>
      <c r="K15" s="6"/>
      <c r="L15" s="6"/>
      <c r="M15" s="6"/>
      <c r="N15" s="6"/>
      <c r="O15" s="6"/>
    </row>
    <row r="16" spans="1:17" ht="18" customHeight="1" x14ac:dyDescent="0.3">
      <c r="A16" s="11">
        <v>8</v>
      </c>
      <c r="B16" s="55"/>
      <c r="C16" s="56"/>
      <c r="D16" s="57" t="s">
        <v>0</v>
      </c>
      <c r="E16" s="6"/>
      <c r="F16" s="6"/>
      <c r="G16" s="6"/>
      <c r="H16" s="6"/>
      <c r="I16" s="6"/>
      <c r="J16" s="6"/>
      <c r="K16" s="6"/>
      <c r="L16" s="6"/>
      <c r="M16" s="6"/>
      <c r="N16" s="6"/>
      <c r="O16" s="6"/>
    </row>
    <row r="17" spans="1:15" ht="18" customHeight="1" x14ac:dyDescent="0.3">
      <c r="A17" s="11">
        <v>9</v>
      </c>
      <c r="B17" s="55"/>
      <c r="C17" s="56"/>
      <c r="D17" s="57" t="s">
        <v>0</v>
      </c>
      <c r="E17" s="6"/>
      <c r="F17" s="6"/>
      <c r="G17" s="6"/>
      <c r="H17" s="6"/>
      <c r="I17" s="6"/>
      <c r="J17" s="6"/>
      <c r="K17" s="6"/>
      <c r="L17" s="6"/>
      <c r="M17" s="6"/>
      <c r="N17" s="6"/>
      <c r="O17" s="6"/>
    </row>
    <row r="18" spans="1:15" ht="18" customHeight="1" x14ac:dyDescent="0.3">
      <c r="A18" s="11">
        <v>10</v>
      </c>
      <c r="B18" s="55"/>
      <c r="C18" s="56"/>
      <c r="D18" s="57" t="s">
        <v>0</v>
      </c>
      <c r="E18" s="6"/>
      <c r="F18" s="6"/>
      <c r="G18" s="6"/>
      <c r="H18" s="6"/>
      <c r="I18" s="6"/>
      <c r="J18" s="6"/>
      <c r="K18" s="6"/>
      <c r="L18" s="6"/>
      <c r="M18" s="6"/>
      <c r="N18" s="6"/>
      <c r="O18" s="6"/>
    </row>
    <row r="19" spans="1:15" ht="18" customHeight="1" x14ac:dyDescent="0.3">
      <c r="A19" s="11">
        <v>11</v>
      </c>
      <c r="B19" s="55"/>
      <c r="C19" s="56"/>
      <c r="D19" s="57" t="s">
        <v>0</v>
      </c>
      <c r="E19" s="6"/>
      <c r="F19" s="6"/>
      <c r="G19" s="6"/>
      <c r="H19" s="6"/>
      <c r="I19" s="6"/>
      <c r="J19" s="6"/>
      <c r="K19" s="6"/>
      <c r="L19" s="6"/>
      <c r="M19" s="6"/>
      <c r="N19" s="6"/>
      <c r="O19" s="6"/>
    </row>
    <row r="20" spans="1:15" ht="18" customHeight="1" x14ac:dyDescent="0.3">
      <c r="A20" s="11">
        <v>12</v>
      </c>
      <c r="B20" s="55"/>
      <c r="C20" s="56"/>
      <c r="D20" s="57" t="s">
        <v>0</v>
      </c>
      <c r="E20" s="6"/>
      <c r="F20" s="6"/>
      <c r="G20" s="6"/>
      <c r="H20" s="6"/>
      <c r="I20" s="6"/>
      <c r="J20" s="6"/>
      <c r="K20" s="6"/>
      <c r="L20" s="6"/>
      <c r="M20" s="6"/>
      <c r="N20" s="6"/>
      <c r="O20" s="6"/>
    </row>
    <row r="21" spans="1:15" ht="18" customHeight="1" x14ac:dyDescent="0.3">
      <c r="A21" s="11">
        <v>13</v>
      </c>
      <c r="B21" s="55"/>
      <c r="C21" s="56"/>
      <c r="D21" s="57" t="s">
        <v>0</v>
      </c>
      <c r="E21" s="6"/>
      <c r="F21" s="6"/>
      <c r="G21" s="6"/>
      <c r="H21" s="6"/>
      <c r="I21" s="6"/>
      <c r="J21" s="6"/>
      <c r="K21" s="6"/>
      <c r="L21" s="6"/>
      <c r="M21" s="6"/>
      <c r="N21" s="6"/>
      <c r="O21" s="6"/>
    </row>
    <row r="22" spans="1:15" ht="18" customHeight="1" x14ac:dyDescent="0.3">
      <c r="A22" s="11">
        <v>14</v>
      </c>
      <c r="B22" s="55"/>
      <c r="C22" s="56"/>
      <c r="D22" s="57" t="s">
        <v>0</v>
      </c>
      <c r="E22" s="6"/>
      <c r="F22" s="6"/>
      <c r="G22" s="6"/>
      <c r="H22" s="6"/>
      <c r="I22" s="6"/>
      <c r="J22" s="6"/>
      <c r="K22" s="6"/>
      <c r="L22" s="6"/>
      <c r="M22" s="6"/>
      <c r="N22" s="6"/>
      <c r="O22" s="6"/>
    </row>
    <row r="23" spans="1:15" ht="18" customHeight="1" x14ac:dyDescent="0.3">
      <c r="A23" s="11">
        <v>15</v>
      </c>
      <c r="B23" s="55"/>
      <c r="C23" s="56"/>
      <c r="D23" s="57" t="s">
        <v>0</v>
      </c>
      <c r="E23" s="6"/>
      <c r="F23" s="6"/>
      <c r="G23" s="6"/>
      <c r="H23" s="6"/>
      <c r="I23" s="6"/>
      <c r="J23" s="6"/>
      <c r="K23" s="6"/>
      <c r="L23" s="6"/>
      <c r="M23" s="6"/>
      <c r="N23" s="6"/>
      <c r="O23" s="6"/>
    </row>
    <row r="24" spans="1:15" ht="18" customHeight="1" x14ac:dyDescent="0.3">
      <c r="A24" s="11">
        <v>16</v>
      </c>
      <c r="B24" s="58"/>
      <c r="C24" s="58"/>
      <c r="D24" s="57" t="s">
        <v>0</v>
      </c>
      <c r="E24" s="6"/>
      <c r="F24" s="6"/>
      <c r="G24" s="6"/>
      <c r="H24" s="6"/>
      <c r="I24" s="6"/>
      <c r="J24" s="6"/>
      <c r="K24" s="6"/>
      <c r="L24" s="6"/>
      <c r="M24" s="6"/>
      <c r="N24" s="6"/>
      <c r="O24" s="6"/>
    </row>
    <row r="25" spans="1:15" ht="18" customHeight="1" x14ac:dyDescent="0.3">
      <c r="A25" s="11">
        <v>17</v>
      </c>
      <c r="B25" s="58"/>
      <c r="C25" s="58"/>
      <c r="D25" s="57" t="s">
        <v>0</v>
      </c>
      <c r="E25" s="6"/>
      <c r="F25" s="6"/>
      <c r="G25" s="6"/>
      <c r="H25" s="6"/>
      <c r="I25" s="6"/>
      <c r="J25" s="6"/>
      <c r="K25" s="6"/>
      <c r="L25" s="6"/>
      <c r="M25" s="6"/>
      <c r="N25" s="6"/>
      <c r="O25" s="6"/>
    </row>
    <row r="26" spans="1:15" ht="18" customHeight="1" x14ac:dyDescent="0.3">
      <c r="A26" s="11">
        <v>18</v>
      </c>
      <c r="B26" s="58"/>
      <c r="C26" s="58"/>
      <c r="D26" s="57" t="s">
        <v>0</v>
      </c>
      <c r="E26" s="6"/>
      <c r="F26" s="6"/>
      <c r="G26" s="6"/>
      <c r="H26" s="6"/>
      <c r="I26" s="6"/>
      <c r="J26" s="6"/>
      <c r="K26" s="6"/>
      <c r="L26" s="6"/>
      <c r="M26" s="6"/>
      <c r="N26" s="6"/>
      <c r="O26" s="6"/>
    </row>
    <row r="27" spans="1:15" ht="18" customHeight="1" x14ac:dyDescent="0.3">
      <c r="A27" s="11">
        <v>19</v>
      </c>
      <c r="B27" s="58"/>
      <c r="C27" s="58"/>
      <c r="D27" s="57" t="s">
        <v>0</v>
      </c>
      <c r="E27" s="6"/>
      <c r="F27" s="6"/>
      <c r="G27" s="6"/>
      <c r="H27" s="6"/>
      <c r="I27" s="6"/>
      <c r="J27" s="6"/>
      <c r="K27" s="6"/>
      <c r="L27" s="6"/>
      <c r="M27" s="6"/>
      <c r="N27" s="6"/>
      <c r="O27" s="6"/>
    </row>
    <row r="28" spans="1:15" x14ac:dyDescent="0.3">
      <c r="A28" s="13">
        <v>20</v>
      </c>
      <c r="B28" s="59"/>
      <c r="C28" s="59"/>
      <c r="D28" s="60" t="s">
        <v>0</v>
      </c>
      <c r="E28" s="6"/>
      <c r="F28" s="6"/>
      <c r="G28" s="6"/>
      <c r="H28" s="6"/>
      <c r="I28" s="6"/>
      <c r="J28" s="6"/>
      <c r="K28" s="6"/>
      <c r="L28" s="6"/>
      <c r="M28" s="6"/>
      <c r="N28" s="6"/>
      <c r="O28" s="6"/>
    </row>
    <row r="29" spans="1:15" x14ac:dyDescent="0.3">
      <c r="A29" s="6"/>
      <c r="B29" s="6"/>
      <c r="C29" s="6"/>
      <c r="D29" s="6"/>
      <c r="E29" s="6"/>
      <c r="F29" s="6"/>
      <c r="G29" s="6"/>
      <c r="H29" s="6"/>
      <c r="I29" s="6"/>
      <c r="J29" s="6"/>
      <c r="K29" s="6"/>
      <c r="L29" s="6"/>
      <c r="M29" s="6"/>
      <c r="N29" s="6"/>
      <c r="O29" s="6"/>
    </row>
  </sheetData>
  <sheetProtection algorithmName="SHA-512" hashValue="wbSafZOU1ab0D6RCZdDitG/uDLv5VkcfN+Wn70YCX/16MYo874M7uqLRrOpM0XWSkD8ROVUUd/2rRTmxgm7AdA==" saltValue="Nip2T/0yMzzxSYQl2aqGgg==" spinCount="100000" sheet="1" objects="1" scenarios="1" formatRows="0" selectLockedCells="1"/>
  <mergeCells count="3">
    <mergeCell ref="A1:O3"/>
    <mergeCell ref="A4:O4"/>
    <mergeCell ref="A5:Q5"/>
  </mergeCells>
  <conditionalFormatting sqref="D8:D28">
    <cfRule type="expression" dxfId="3" priority="1">
      <formula>OR($B8="",$C8="")</formula>
    </cfRule>
  </conditionalFormatting>
  <dataValidations count="2">
    <dataValidation type="list" allowBlank="1" showInputMessage="1" showErrorMessage="1" sqref="D8:D28" xr:uid="{1A7CD76E-0188-4FA6-82A2-DAC0E88CFE90}">
      <formula1>"yes,no"</formula1>
    </dataValidation>
    <dataValidation type="list" allowBlank="1" showInputMessage="1" showErrorMessage="1" sqref="F8" xr:uid="{CBF1759F-11AE-4FD9-B964-F04876FB6060}">
      <formula1>"Linear,Polynomial [2],Polynomial [3],Polynomial [4],Polynomial [5]"</formula1>
    </dataValidation>
  </dataValidations>
  <pageMargins left="0.25" right="0.25" top="0.75" bottom="0.75" header="0.3" footer="0.3"/>
  <pageSetup paperSize="9" orientation="landscape" horizontalDpi="4294967293" verticalDpi="4294967293"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3457A-CCAA-47DB-8B78-892DC37153D0}">
  <sheetPr>
    <tabColor rgb="FF007CAA"/>
    <outlinePr summaryBelow="0"/>
  </sheetPr>
  <dimension ref="A1:Q30"/>
  <sheetViews>
    <sheetView showGridLines="0" showRowColHeaders="0" zoomScale="130" zoomScaleNormal="130" workbookViewId="0">
      <selection activeCell="A8" sqref="A8:C11"/>
    </sheetView>
  </sheetViews>
  <sheetFormatPr baseColWidth="10" defaultColWidth="11.5546875" defaultRowHeight="14.4" outlineLevelRow="1" x14ac:dyDescent="0.3"/>
  <cols>
    <col min="1" max="13" width="8.88671875" style="139" customWidth="1"/>
    <col min="14" max="14" width="11.109375" style="139" customWidth="1"/>
    <col min="15" max="15" width="15.5546875" style="139" customWidth="1"/>
    <col min="16" max="19" width="8.88671875" style="139" customWidth="1"/>
    <col min="20" max="16384" width="11.5546875" style="139"/>
  </cols>
  <sheetData>
    <row r="1" spans="1:17" ht="18" customHeight="1" x14ac:dyDescent="0.3">
      <c r="A1" s="138" t="s">
        <v>60</v>
      </c>
      <c r="B1" s="138"/>
      <c r="C1" s="138"/>
      <c r="D1" s="138"/>
      <c r="E1" s="138"/>
      <c r="F1" s="138"/>
      <c r="G1" s="138"/>
      <c r="H1" s="138"/>
      <c r="I1" s="138"/>
      <c r="J1" s="138"/>
      <c r="K1" s="138"/>
      <c r="L1" s="138"/>
      <c r="M1" s="138"/>
      <c r="N1" s="138"/>
      <c r="O1" s="138"/>
    </row>
    <row r="2" spans="1:17" ht="18" customHeight="1" x14ac:dyDescent="0.3">
      <c r="A2" s="138"/>
      <c r="B2" s="138"/>
      <c r="C2" s="138"/>
      <c r="D2" s="138"/>
      <c r="E2" s="138"/>
      <c r="F2" s="138"/>
      <c r="G2" s="138"/>
      <c r="H2" s="138"/>
      <c r="I2" s="138"/>
      <c r="J2" s="138"/>
      <c r="K2" s="138"/>
      <c r="L2" s="138"/>
      <c r="M2" s="138"/>
      <c r="N2" s="138"/>
      <c r="O2" s="138"/>
    </row>
    <row r="3" spans="1:17" ht="18" customHeight="1" x14ac:dyDescent="0.3">
      <c r="A3" s="138"/>
      <c r="B3" s="138"/>
      <c r="C3" s="138"/>
      <c r="D3" s="138"/>
      <c r="E3" s="138"/>
      <c r="F3" s="138"/>
      <c r="G3" s="138"/>
      <c r="H3" s="138"/>
      <c r="I3" s="138"/>
      <c r="J3" s="138"/>
      <c r="K3" s="138"/>
      <c r="L3" s="138"/>
      <c r="M3" s="138"/>
      <c r="N3" s="138"/>
      <c r="O3" s="138"/>
    </row>
    <row r="4" spans="1:17" collapsed="1" x14ac:dyDescent="0.3">
      <c r="A4" s="140" t="s">
        <v>56</v>
      </c>
      <c r="B4" s="140"/>
      <c r="C4" s="140"/>
      <c r="D4" s="140"/>
      <c r="E4" s="140"/>
      <c r="F4" s="140"/>
      <c r="G4" s="140"/>
      <c r="H4" s="140"/>
      <c r="I4" s="140"/>
      <c r="J4" s="140"/>
      <c r="K4" s="140"/>
      <c r="L4" s="140"/>
      <c r="M4" s="140"/>
      <c r="N4" s="140"/>
      <c r="O4" s="140"/>
    </row>
    <row r="5" spans="1:17" ht="145.80000000000001" hidden="1" customHeight="1" outlineLevel="1" x14ac:dyDescent="0.3">
      <c r="A5" s="141" t="s">
        <v>69</v>
      </c>
      <c r="B5" s="141"/>
      <c r="C5" s="141"/>
      <c r="D5" s="141"/>
      <c r="E5" s="141"/>
      <c r="F5" s="141"/>
      <c r="G5" s="141"/>
      <c r="H5" s="141"/>
      <c r="I5" s="141"/>
      <c r="J5" s="141"/>
      <c r="K5" s="141"/>
      <c r="L5" s="141"/>
      <c r="M5" s="141"/>
      <c r="N5" s="141"/>
      <c r="O5" s="141"/>
      <c r="P5" s="142"/>
      <c r="Q5" s="142"/>
    </row>
    <row r="6" spans="1:17" ht="6" customHeight="1" x14ac:dyDescent="0.3">
      <c r="A6" s="143"/>
      <c r="B6" s="143"/>
      <c r="C6" s="143"/>
      <c r="D6" s="143"/>
      <c r="E6" s="143"/>
      <c r="F6" s="143"/>
      <c r="G6" s="143"/>
      <c r="H6" s="143"/>
      <c r="I6" s="143"/>
      <c r="J6" s="143"/>
      <c r="K6" s="143"/>
      <c r="L6" s="143"/>
      <c r="M6" s="143"/>
      <c r="N6" s="143"/>
      <c r="O6" s="143"/>
    </row>
    <row r="7" spans="1:17" ht="18" customHeight="1" x14ac:dyDescent="0.3">
      <c r="A7" s="144" t="s">
        <v>63</v>
      </c>
      <c r="B7" s="144"/>
      <c r="C7" s="144"/>
      <c r="D7" s="145"/>
      <c r="E7" s="144" t="s">
        <v>62</v>
      </c>
      <c r="F7" s="144"/>
      <c r="G7" s="144"/>
      <c r="H7" s="146"/>
      <c r="I7" s="144" t="s">
        <v>64</v>
      </c>
      <c r="J7" s="144"/>
      <c r="K7" s="144"/>
      <c r="L7" s="146"/>
      <c r="M7" s="143"/>
      <c r="N7" s="143"/>
      <c r="O7" s="143"/>
    </row>
    <row r="8" spans="1:17" ht="18" customHeight="1" x14ac:dyDescent="0.3">
      <c r="A8" s="114">
        <v>1.41</v>
      </c>
      <c r="B8" s="115"/>
      <c r="C8" s="116"/>
      <c r="D8" s="145"/>
      <c r="E8" s="147">
        <f>-(A8*12.12-17.05)</f>
        <v>-3.9199999999997459E-2</v>
      </c>
      <c r="F8" s="148"/>
      <c r="G8" s="149"/>
      <c r="H8" s="143"/>
      <c r="I8" s="150" t="str">
        <f>IF(ABS(E8)&lt;0.01,"No adjustment required",CONCATENATE((IF(E8&gt;0,"Increase ","Decrease ")),"calibration parameter m0 by ",TEXT(ABS(E8),"0,00")))</f>
        <v>Decrease calibration parameter m0 by 0,04</v>
      </c>
      <c r="J8" s="151"/>
      <c r="K8" s="152"/>
      <c r="L8" s="143"/>
      <c r="M8" s="143"/>
      <c r="N8" s="153"/>
      <c r="O8" s="154"/>
    </row>
    <row r="9" spans="1:17" ht="18" customHeight="1" x14ac:dyDescent="0.3">
      <c r="A9" s="117"/>
      <c r="B9" s="118"/>
      <c r="C9" s="119"/>
      <c r="D9" s="145"/>
      <c r="E9" s="155"/>
      <c r="F9" s="156"/>
      <c r="G9" s="157"/>
      <c r="H9" s="143"/>
      <c r="I9" s="158"/>
      <c r="J9" s="159"/>
      <c r="K9" s="160"/>
      <c r="L9" s="143"/>
      <c r="M9" s="143"/>
      <c r="N9" s="143"/>
      <c r="O9" s="143"/>
    </row>
    <row r="10" spans="1:17" ht="18" customHeight="1" x14ac:dyDescent="0.3">
      <c r="A10" s="117"/>
      <c r="B10" s="118"/>
      <c r="C10" s="119"/>
      <c r="D10" s="145"/>
      <c r="E10" s="155"/>
      <c r="F10" s="156"/>
      <c r="G10" s="157"/>
      <c r="H10" s="143"/>
      <c r="I10" s="158"/>
      <c r="J10" s="159"/>
      <c r="K10" s="160"/>
      <c r="L10" s="143"/>
      <c r="M10" s="143"/>
      <c r="N10" s="143"/>
      <c r="O10" s="143"/>
    </row>
    <row r="11" spans="1:17" ht="18" customHeight="1" x14ac:dyDescent="0.3">
      <c r="A11" s="120"/>
      <c r="B11" s="121"/>
      <c r="C11" s="122"/>
      <c r="D11" s="145"/>
      <c r="E11" s="161"/>
      <c r="F11" s="162"/>
      <c r="G11" s="163"/>
      <c r="H11" s="143"/>
      <c r="I11" s="164"/>
      <c r="J11" s="165"/>
      <c r="K11" s="166"/>
      <c r="L11" s="143"/>
      <c r="M11" s="143"/>
      <c r="N11" s="143"/>
      <c r="O11" s="143"/>
    </row>
    <row r="12" spans="1:17" ht="18" customHeight="1" x14ac:dyDescent="0.3">
      <c r="A12" s="145"/>
      <c r="B12" s="145"/>
      <c r="C12" s="167"/>
      <c r="D12" s="145"/>
      <c r="E12" s="143"/>
      <c r="F12" s="143"/>
      <c r="G12" s="143"/>
      <c r="H12" s="143"/>
      <c r="I12" s="143"/>
      <c r="J12" s="143"/>
      <c r="K12" s="143"/>
      <c r="L12" s="143"/>
      <c r="M12" s="143"/>
      <c r="N12" s="143"/>
      <c r="O12" s="143"/>
    </row>
    <row r="13" spans="1:17" ht="18" customHeight="1" x14ac:dyDescent="0.3">
      <c r="A13" s="168" t="s">
        <v>70</v>
      </c>
      <c r="B13" s="168"/>
      <c r="C13" s="168"/>
      <c r="D13" s="168"/>
      <c r="E13" s="169">
        <v>1.4067499999999999</v>
      </c>
      <c r="F13" s="170" t="s">
        <v>61</v>
      </c>
      <c r="G13" s="143"/>
      <c r="H13" s="143"/>
      <c r="I13" s="143"/>
      <c r="J13" s="143"/>
      <c r="K13" s="143"/>
      <c r="L13" s="143"/>
      <c r="M13" s="143"/>
      <c r="N13" s="143"/>
      <c r="O13" s="143"/>
    </row>
    <row r="14" spans="1:17" ht="18" customHeight="1" x14ac:dyDescent="0.3">
      <c r="A14" s="171"/>
      <c r="B14" s="171"/>
      <c r="C14" s="80"/>
      <c r="D14" s="171"/>
    </row>
    <row r="15" spans="1:17" ht="18" customHeight="1" x14ac:dyDescent="0.3">
      <c r="A15" s="171"/>
      <c r="B15" s="171"/>
      <c r="C15" s="80"/>
      <c r="D15" s="171"/>
    </row>
    <row r="16" spans="1:17" ht="18" customHeight="1" x14ac:dyDescent="0.3">
      <c r="A16" s="171"/>
      <c r="B16" s="171"/>
      <c r="C16" s="80"/>
      <c r="D16" s="171"/>
    </row>
    <row r="17" spans="1:4" ht="18" customHeight="1" x14ac:dyDescent="0.3">
      <c r="A17" s="171"/>
      <c r="B17" s="171"/>
      <c r="C17" s="80"/>
      <c r="D17" s="171"/>
    </row>
    <row r="18" spans="1:4" ht="18" customHeight="1" x14ac:dyDescent="0.3">
      <c r="A18" s="171"/>
      <c r="B18" s="171"/>
      <c r="C18" s="80"/>
      <c r="D18" s="171"/>
    </row>
    <row r="19" spans="1:4" ht="18" customHeight="1" x14ac:dyDescent="0.3">
      <c r="A19" s="171"/>
      <c r="B19" s="171"/>
      <c r="C19" s="80"/>
      <c r="D19" s="171"/>
    </row>
    <row r="20" spans="1:4" ht="18" customHeight="1" x14ac:dyDescent="0.3">
      <c r="A20" s="171"/>
      <c r="B20" s="171"/>
      <c r="C20" s="80"/>
      <c r="D20" s="171"/>
    </row>
    <row r="21" spans="1:4" ht="18" customHeight="1" x14ac:dyDescent="0.3">
      <c r="A21" s="171"/>
      <c r="B21" s="171"/>
      <c r="C21" s="80"/>
      <c r="D21" s="171"/>
    </row>
    <row r="22" spans="1:4" ht="18" customHeight="1" x14ac:dyDescent="0.3">
      <c r="A22" s="171"/>
      <c r="B22" s="171"/>
      <c r="C22" s="80"/>
      <c r="D22" s="171"/>
    </row>
    <row r="23" spans="1:4" ht="18" customHeight="1" x14ac:dyDescent="0.3">
      <c r="A23" s="171"/>
      <c r="D23" s="171"/>
    </row>
    <row r="24" spans="1:4" ht="18" customHeight="1" x14ac:dyDescent="0.3">
      <c r="A24" s="171"/>
      <c r="D24" s="171"/>
    </row>
    <row r="25" spans="1:4" ht="18" customHeight="1" x14ac:dyDescent="0.3">
      <c r="A25" s="171"/>
      <c r="D25" s="171"/>
    </row>
    <row r="26" spans="1:4" ht="18" customHeight="1" x14ac:dyDescent="0.3">
      <c r="A26" s="171"/>
      <c r="D26" s="171"/>
    </row>
    <row r="27" spans="1:4" x14ac:dyDescent="0.3">
      <c r="A27" s="171"/>
      <c r="D27" s="171"/>
    </row>
    <row r="28" spans="1:4" x14ac:dyDescent="0.3">
      <c r="A28" s="171"/>
      <c r="D28" s="171"/>
    </row>
    <row r="29" spans="1:4" x14ac:dyDescent="0.3">
      <c r="A29" s="171"/>
      <c r="D29" s="171"/>
    </row>
    <row r="30" spans="1:4" x14ac:dyDescent="0.3">
      <c r="A30" s="171"/>
      <c r="D30" s="171"/>
    </row>
  </sheetData>
  <sheetProtection algorithmName="SHA-512" hashValue="txYCtBah9U4BW39RhpLdgu1qXMqllUo0KXO3DsSUsx/h/hJoRgVOWtGeXOGCJacOu5nd7soWCfXyBvf+7G8Qzg==" saltValue="VGVqja9+XcOAKR784YZbxw==" spinCount="100000" sheet="1" objects="1" scenarios="1" formatRows="0" selectLockedCells="1"/>
  <mergeCells count="10">
    <mergeCell ref="A1:O3"/>
    <mergeCell ref="A4:O4"/>
    <mergeCell ref="A7:C7"/>
    <mergeCell ref="E7:G7"/>
    <mergeCell ref="I7:K7"/>
    <mergeCell ref="I8:K11"/>
    <mergeCell ref="A5:O5"/>
    <mergeCell ref="A13:D13"/>
    <mergeCell ref="E8:G11"/>
    <mergeCell ref="A8:C11"/>
  </mergeCells>
  <conditionalFormatting sqref="D7">
    <cfRule type="expression" dxfId="2" priority="2">
      <formula>OR($A7="",$C7="")</formula>
    </cfRule>
  </conditionalFormatting>
  <conditionalFormatting sqref="D8:D12">
    <cfRule type="expression" dxfId="1" priority="1">
      <formula>OR($B8="",$C8="")</formula>
    </cfRule>
  </conditionalFormatting>
  <conditionalFormatting sqref="D14:D30">
    <cfRule type="expression" dxfId="0" priority="3">
      <formula>OR($B14="",$C14="")</formula>
    </cfRule>
  </conditionalFormatting>
  <pageMargins left="0.25" right="0.25" top="0.75" bottom="0.75" header="0.3" footer="0.3"/>
  <pageSetup paperSize="9" orientation="landscape" horizontalDpi="4294967293" verticalDpi="4294967293"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C696B-111B-46EF-AD4B-F8460501310F}">
  <dimension ref="A1:V85"/>
  <sheetViews>
    <sheetView topLeftCell="A29" zoomScale="115" zoomScaleNormal="115" workbookViewId="0">
      <selection activeCell="D44" sqref="D44"/>
    </sheetView>
  </sheetViews>
  <sheetFormatPr baseColWidth="10" defaultRowHeight="14.4" x14ac:dyDescent="0.3"/>
  <cols>
    <col min="2" max="2" width="16.44140625" bestFit="1" customWidth="1"/>
    <col min="3" max="8" width="13" customWidth="1"/>
    <col min="10" max="10" width="11.6640625" bestFit="1" customWidth="1"/>
    <col min="18" max="19" width="14" customWidth="1"/>
    <col min="21" max="21" width="13.44140625" bestFit="1" customWidth="1"/>
  </cols>
  <sheetData>
    <row r="1" spans="1:22" ht="18" x14ac:dyDescent="0.35">
      <c r="A1" s="40" t="s">
        <v>2</v>
      </c>
    </row>
    <row r="3" spans="1:22" x14ac:dyDescent="0.3">
      <c r="B3" t="s">
        <v>35</v>
      </c>
      <c r="C3" s="2"/>
      <c r="D3" s="2"/>
      <c r="E3" s="2"/>
      <c r="F3" s="123" t="s">
        <v>33</v>
      </c>
      <c r="G3" s="123"/>
      <c r="J3" t="s">
        <v>13</v>
      </c>
      <c r="K3">
        <f>ABS(J55-J5)</f>
        <v>150</v>
      </c>
      <c r="M3" t="s">
        <v>44</v>
      </c>
      <c r="O3" s="124" t="s">
        <v>13</v>
      </c>
      <c r="P3" s="124"/>
      <c r="R3" s="2" t="s">
        <v>37</v>
      </c>
      <c r="S3" s="2"/>
      <c r="T3" s="2"/>
      <c r="U3" s="2"/>
    </row>
    <row r="4" spans="1:22" x14ac:dyDescent="0.3">
      <c r="B4" s="28" t="s">
        <v>3</v>
      </c>
      <c r="C4" s="29" t="s">
        <v>4</v>
      </c>
      <c r="D4" s="30" t="s">
        <v>5</v>
      </c>
      <c r="F4" s="36" t="s">
        <v>4</v>
      </c>
      <c r="G4" s="38" t="s">
        <v>5</v>
      </c>
      <c r="H4" s="39"/>
      <c r="J4" t="s">
        <v>4</v>
      </c>
      <c r="K4" s="1" t="s">
        <v>5</v>
      </c>
      <c r="L4" s="1"/>
      <c r="M4" s="1">
        <f>MIN(MIN(F5:F20),MIN(J5:J55))</f>
        <v>50</v>
      </c>
      <c r="O4" s="36" t="s">
        <v>4</v>
      </c>
      <c r="P4" s="38" t="s">
        <v>5</v>
      </c>
      <c r="R4" s="1" t="s">
        <v>38</v>
      </c>
      <c r="S4" s="1" t="s">
        <v>39</v>
      </c>
      <c r="T4" s="1" t="s">
        <v>40</v>
      </c>
      <c r="U4" s="1" t="s">
        <v>41</v>
      </c>
      <c r="V4" s="1" t="s">
        <v>42</v>
      </c>
    </row>
    <row r="5" spans="1:22" x14ac:dyDescent="0.3">
      <c r="B5" s="31">
        <v>0</v>
      </c>
      <c r="C5" s="2">
        <f>IF(AND(Calibration!D8="yes",Calibration!B8&lt;&gt;""),Calibration!B8,"")</f>
        <v>60</v>
      </c>
      <c r="D5" s="32">
        <f>IF(AND(Calibration!D8="yes",Calibration!C8&lt;&gt;""),Calibration!C8,0)</f>
        <v>-3</v>
      </c>
      <c r="F5" s="39" cm="1">
        <f t="array" ref="F5:G8">_xlfn._xlws.SORT(_xlfn._xlws.FILTER(C5:D20,(C5:C20&lt;&gt;"")*(D5:D20&lt;&gt;"")),1,1)</f>
        <v>60</v>
      </c>
      <c r="G5" s="42">
        <v>-3</v>
      </c>
      <c r="H5" s="51"/>
      <c r="J5" s="52">
        <f>F5-Calibration!$G$9</f>
        <v>50</v>
      </c>
      <c r="K5" s="48">
        <f>IF(J5="","",$C$44*J5^$H$25+$D$44*J5^$G$25+$E$44*J5^$F$25+$F$44*J5^$E$25+$G$44*J5^$D$25+$H$44*J5^$C$25)</f>
        <v>-3.9316455696202457</v>
      </c>
      <c r="L5" s="48"/>
      <c r="M5" s="66">
        <f>ROUNDDOWN(M4,-2)</f>
        <v>0</v>
      </c>
      <c r="O5" s="31">
        <f>IF(F5&lt;&gt;"",F5,"")</f>
        <v>60</v>
      </c>
      <c r="P5" s="49">
        <f>IF(O5="","",$C$44*F5^$H$25+$D$44*F5^$G$25+$E$44*F5^$F$25+$F$44*F5^$E$25+$G$44*F5^$D$25+$H$44*F5^$C$25)</f>
        <v>-2.9822784810126519</v>
      </c>
      <c r="R5" s="53">
        <f>IF(G5&lt;&gt;"",G5-P5,"")</f>
        <v>-1.7721518987348084E-2</v>
      </c>
      <c r="S5" s="53">
        <f>IF(R5&lt;&gt;"",R5^2,"")</f>
        <v>3.1405223521893867E-4</v>
      </c>
      <c r="T5" s="53">
        <f>AVERAGE(G5:G20)</f>
        <v>4.8499999999999996</v>
      </c>
      <c r="U5" s="53">
        <f>IF(G5&lt;&gt;"",G5-$T$5,"")</f>
        <v>-7.85</v>
      </c>
      <c r="V5" s="53">
        <f>IF(U5&lt;&gt;"",U5^2,"")</f>
        <v>61.622499999999995</v>
      </c>
    </row>
    <row r="6" spans="1:22" x14ac:dyDescent="0.3">
      <c r="B6" s="31">
        <v>1</v>
      </c>
      <c r="C6" s="2">
        <f>IF(AND(Calibration!D9="yes",Calibration!B9&lt;&gt;""),Calibration!B9,"")</f>
        <v>150</v>
      </c>
      <c r="D6" s="32">
        <f>IF(AND(Calibration!D9="yes",Calibration!C9&lt;&gt;""),Calibration!C9,0)</f>
        <v>5.6</v>
      </c>
      <c r="F6" s="39">
        <v>150</v>
      </c>
      <c r="G6" s="42">
        <v>5.6</v>
      </c>
      <c r="H6" s="51"/>
      <c r="J6" s="2">
        <f t="shared" ref="J6:J37" si="0">J5+$K$3/50</f>
        <v>53</v>
      </c>
      <c r="K6" s="48">
        <f t="shared" ref="K6:K55" si="1">IF(J6="","",$C$44*J6^$H$25+$D$44*J6^$G$25+$E$44*J6^$F$25+$F$44*J6^$E$25+$G$44*J6^$D$25+$H$44*J6^$C$25)</f>
        <v>-3.6468354430379675</v>
      </c>
      <c r="L6" s="48"/>
      <c r="M6" s="48"/>
      <c r="O6" s="31">
        <f t="shared" ref="O6:O20" si="2">IF(F6&lt;&gt;"",F6,"")</f>
        <v>150</v>
      </c>
      <c r="P6" s="49">
        <f t="shared" ref="P6:P20" si="3">IF(O6="","",$C$44*F6^$H$25+$D$44*F6^$G$25+$E$44*F6^$F$25+$F$44*F6^$E$25+$G$44*F6^$D$25+$H$44*F6^$C$25)</f>
        <v>5.5620253164556992</v>
      </c>
      <c r="R6" s="53">
        <f t="shared" ref="R6:R20" si="4">IF(G6&lt;&gt;"",G6-P6,"")</f>
        <v>3.7974683544300447E-2</v>
      </c>
      <c r="S6" s="53">
        <f t="shared" ref="S6:S20" si="5">IF(R6&lt;&gt;"",R6^2,"")</f>
        <v>1.4420765902897631E-3</v>
      </c>
      <c r="T6" s="53"/>
      <c r="U6" s="53">
        <f t="shared" ref="U6:U20" si="6">IF(G6&lt;&gt;"",G6-$T$5,"")</f>
        <v>0.75</v>
      </c>
      <c r="V6" s="53">
        <f t="shared" ref="V6:V20" si="7">IF(U6&lt;&gt;"",U6^2,"")</f>
        <v>0.5625</v>
      </c>
    </row>
    <row r="7" spans="1:22" x14ac:dyDescent="0.3">
      <c r="B7" s="31">
        <v>2</v>
      </c>
      <c r="C7" s="2">
        <f>IF(AND(Calibration!D10="yes",Calibration!B10&lt;&gt;""),Calibration!B10,"")</f>
        <v>170</v>
      </c>
      <c r="D7" s="32">
        <f>IF(AND(Calibration!D10="yes",Calibration!C10&lt;&gt;""),Calibration!C10,0)</f>
        <v>7.5</v>
      </c>
      <c r="F7" s="39">
        <v>170</v>
      </c>
      <c r="G7" s="42">
        <v>7.5</v>
      </c>
      <c r="H7" s="51"/>
      <c r="J7" s="2">
        <f t="shared" si="0"/>
        <v>56</v>
      </c>
      <c r="K7" s="48">
        <f t="shared" si="1"/>
        <v>-3.3620253164556893</v>
      </c>
      <c r="L7" s="48"/>
      <c r="M7" s="48"/>
      <c r="O7" s="31">
        <f t="shared" si="2"/>
        <v>170</v>
      </c>
      <c r="P7" s="49">
        <f t="shared" si="3"/>
        <v>7.4607594936708903</v>
      </c>
      <c r="R7" s="53">
        <f t="shared" si="4"/>
        <v>3.9240506329109692E-2</v>
      </c>
      <c r="S7" s="53">
        <f t="shared" si="5"/>
        <v>1.5398173369648978E-3</v>
      </c>
      <c r="T7" s="53"/>
      <c r="U7" s="53">
        <f t="shared" si="6"/>
        <v>2.6500000000000004</v>
      </c>
      <c r="V7" s="53">
        <f t="shared" si="7"/>
        <v>7.0225000000000017</v>
      </c>
    </row>
    <row r="8" spans="1:22" x14ac:dyDescent="0.3">
      <c r="B8" s="31">
        <v>3</v>
      </c>
      <c r="C8" s="2">
        <f>IF(AND(Calibration!D11="yes",Calibration!B11&lt;&gt;""),Calibration!B11,"")</f>
        <v>190</v>
      </c>
      <c r="D8" s="32">
        <f>IF(AND(Calibration!D11="yes",Calibration!C11&lt;&gt;""),Calibration!C11,0)</f>
        <v>9.3000000000000007</v>
      </c>
      <c r="F8" s="39">
        <v>190</v>
      </c>
      <c r="G8" s="42">
        <v>9.3000000000000007</v>
      </c>
      <c r="H8" s="51"/>
      <c r="J8" s="2">
        <f t="shared" si="0"/>
        <v>59</v>
      </c>
      <c r="K8" s="48">
        <f t="shared" si="1"/>
        <v>-3.077215189873411</v>
      </c>
      <c r="L8" s="48"/>
      <c r="M8" s="48"/>
      <c r="O8" s="31">
        <f t="shared" si="2"/>
        <v>190</v>
      </c>
      <c r="P8" s="49">
        <f t="shared" si="3"/>
        <v>9.3594936708860796</v>
      </c>
      <c r="R8" s="53">
        <f t="shared" si="4"/>
        <v>-5.9493670886078931E-2</v>
      </c>
      <c r="S8" s="53">
        <f t="shared" si="5"/>
        <v>3.5394968755010758E-3</v>
      </c>
      <c r="T8" s="53"/>
      <c r="U8" s="53">
        <f t="shared" si="6"/>
        <v>4.4500000000000011</v>
      </c>
      <c r="V8" s="53">
        <f t="shared" si="7"/>
        <v>19.802500000000009</v>
      </c>
    </row>
    <row r="9" spans="1:22" x14ac:dyDescent="0.3">
      <c r="B9" s="31">
        <v>4</v>
      </c>
      <c r="C9" s="2" t="str">
        <f>IF(AND(Calibration!D12="yes",Calibration!B12&lt;&gt;""),Calibration!B12,"")</f>
        <v/>
      </c>
      <c r="D9" s="32">
        <f>IF(AND(Calibration!D12="yes",Calibration!C12&lt;&gt;""),Calibration!C12,0)</f>
        <v>0</v>
      </c>
      <c r="F9" s="39"/>
      <c r="G9" s="42"/>
      <c r="H9" s="51"/>
      <c r="J9" s="2">
        <f t="shared" si="0"/>
        <v>62</v>
      </c>
      <c r="K9" s="48">
        <f t="shared" si="1"/>
        <v>-2.7924050632911328</v>
      </c>
      <c r="L9" s="48"/>
      <c r="M9" s="48"/>
      <c r="O9" s="31" t="str">
        <f t="shared" si="2"/>
        <v/>
      </c>
      <c r="P9" s="49" t="str">
        <f t="shared" si="3"/>
        <v/>
      </c>
      <c r="R9" s="53" t="str">
        <f t="shared" si="4"/>
        <v/>
      </c>
      <c r="S9" s="53" t="str">
        <f t="shared" si="5"/>
        <v/>
      </c>
      <c r="T9" s="53"/>
      <c r="U9" s="53" t="str">
        <f t="shared" si="6"/>
        <v/>
      </c>
      <c r="V9" s="53" t="str">
        <f t="shared" si="7"/>
        <v/>
      </c>
    </row>
    <row r="10" spans="1:22" x14ac:dyDescent="0.3">
      <c r="B10" s="31">
        <v>5</v>
      </c>
      <c r="C10" s="2" t="str">
        <f>IF(AND(Calibration!D13="yes",Calibration!B13&lt;&gt;""),Calibration!B13,"")</f>
        <v/>
      </c>
      <c r="D10" s="32">
        <f>IF(AND(Calibration!D13="yes",Calibration!C13&lt;&gt;""),Calibration!C13,0)</f>
        <v>0</v>
      </c>
      <c r="E10" s="4"/>
      <c r="F10" s="24"/>
      <c r="G10" s="46"/>
      <c r="H10" s="51"/>
      <c r="J10" s="2">
        <f t="shared" si="0"/>
        <v>65</v>
      </c>
      <c r="K10" s="48">
        <f t="shared" si="1"/>
        <v>-2.5075949367088546</v>
      </c>
      <c r="L10" s="48"/>
      <c r="M10" s="48"/>
      <c r="O10" s="31" t="str">
        <f t="shared" si="2"/>
        <v/>
      </c>
      <c r="P10" s="49" t="str">
        <f t="shared" si="3"/>
        <v/>
      </c>
      <c r="R10" s="53" t="str">
        <f t="shared" si="4"/>
        <v/>
      </c>
      <c r="S10" s="53" t="str">
        <f t="shared" si="5"/>
        <v/>
      </c>
      <c r="T10" s="53"/>
      <c r="U10" s="53" t="str">
        <f t="shared" si="6"/>
        <v/>
      </c>
      <c r="V10" s="53" t="str">
        <f t="shared" si="7"/>
        <v/>
      </c>
    </row>
    <row r="11" spans="1:22" x14ac:dyDescent="0.3">
      <c r="B11" s="31">
        <v>6</v>
      </c>
      <c r="C11" s="2" t="str">
        <f>IF(AND(Calibration!D14="yes",Calibration!B14&lt;&gt;""),Calibration!B14,"")</f>
        <v/>
      </c>
      <c r="D11" s="32">
        <f>IF(AND(Calibration!D14="yes",Calibration!C14&lt;&gt;""),Calibration!C14,0)</f>
        <v>0</v>
      </c>
      <c r="E11" s="4" t="str">
        <f t="shared" ref="E11:E20" si="8">IF(C11="","",$C$44*C11^$H$25+$D$44*C11^$G$25+$E$44*C11^$F$25+$F$44*C11^$E$25+$G$44*C11^$D$25+$H$44*C11^$C$25)</f>
        <v/>
      </c>
      <c r="F11" s="24"/>
      <c r="G11" s="46"/>
      <c r="H11" s="51"/>
      <c r="J11" s="2">
        <f t="shared" si="0"/>
        <v>68</v>
      </c>
      <c r="K11" s="48">
        <f t="shared" si="1"/>
        <v>-2.2227848101265755</v>
      </c>
      <c r="L11" s="48"/>
      <c r="M11" s="48"/>
      <c r="O11" s="31" t="str">
        <f t="shared" si="2"/>
        <v/>
      </c>
      <c r="P11" s="49" t="str">
        <f t="shared" si="3"/>
        <v/>
      </c>
      <c r="R11" s="53" t="str">
        <f t="shared" si="4"/>
        <v/>
      </c>
      <c r="S11" s="53" t="str">
        <f t="shared" si="5"/>
        <v/>
      </c>
      <c r="T11" s="53"/>
      <c r="U11" s="53" t="str">
        <f t="shared" si="6"/>
        <v/>
      </c>
      <c r="V11" s="53" t="str">
        <f t="shared" si="7"/>
        <v/>
      </c>
    </row>
    <row r="12" spans="1:22" x14ac:dyDescent="0.3">
      <c r="B12" s="31">
        <v>7</v>
      </c>
      <c r="C12" s="2" t="str">
        <f>IF(AND(Calibration!D15="yes",Calibration!B15&lt;&gt;""),Calibration!B15,"")</f>
        <v/>
      </c>
      <c r="D12" s="32">
        <f>IF(AND(Calibration!D15="yes",Calibration!C15&lt;&gt;""),Calibration!C15,0)</f>
        <v>0</v>
      </c>
      <c r="E12" s="4" t="str">
        <f t="shared" si="8"/>
        <v/>
      </c>
      <c r="F12" s="24"/>
      <c r="G12" s="46"/>
      <c r="H12" s="51"/>
      <c r="J12" s="2">
        <f t="shared" si="0"/>
        <v>71</v>
      </c>
      <c r="K12" s="48">
        <f t="shared" si="1"/>
        <v>-1.9379746835442972</v>
      </c>
      <c r="L12" s="48"/>
      <c r="M12" s="48"/>
      <c r="O12" s="31" t="str">
        <f t="shared" si="2"/>
        <v/>
      </c>
      <c r="P12" s="49" t="str">
        <f t="shared" si="3"/>
        <v/>
      </c>
      <c r="R12" s="53" t="str">
        <f t="shared" si="4"/>
        <v/>
      </c>
      <c r="S12" s="53" t="str">
        <f t="shared" si="5"/>
        <v/>
      </c>
      <c r="T12" s="53"/>
      <c r="U12" s="53" t="str">
        <f t="shared" si="6"/>
        <v/>
      </c>
      <c r="V12" s="53" t="str">
        <f t="shared" si="7"/>
        <v/>
      </c>
    </row>
    <row r="13" spans="1:22" x14ac:dyDescent="0.3">
      <c r="B13" s="31">
        <v>8</v>
      </c>
      <c r="C13" s="2" t="str">
        <f>IF(AND(Calibration!D16="yes",Calibration!B16&lt;&gt;""),Calibration!B16,"")</f>
        <v/>
      </c>
      <c r="D13" s="32">
        <f>IF(AND(Calibration!D16="yes",Calibration!C16&lt;&gt;""),Calibration!C16,0)</f>
        <v>0</v>
      </c>
      <c r="E13" s="4" t="str">
        <f t="shared" si="8"/>
        <v/>
      </c>
      <c r="F13" s="24"/>
      <c r="G13" s="46"/>
      <c r="H13" s="51"/>
      <c r="J13" s="2">
        <f t="shared" si="0"/>
        <v>74</v>
      </c>
      <c r="K13" s="48">
        <f t="shared" si="1"/>
        <v>-1.653164556962019</v>
      </c>
      <c r="L13" s="48"/>
      <c r="M13" s="48"/>
      <c r="O13" s="31" t="str">
        <f t="shared" si="2"/>
        <v/>
      </c>
      <c r="P13" s="49" t="str">
        <f t="shared" si="3"/>
        <v/>
      </c>
      <c r="R13" s="53" t="str">
        <f t="shared" si="4"/>
        <v/>
      </c>
      <c r="S13" s="53" t="str">
        <f t="shared" si="5"/>
        <v/>
      </c>
      <c r="T13" s="53"/>
      <c r="U13" s="53" t="str">
        <f t="shared" si="6"/>
        <v/>
      </c>
      <c r="V13" s="53" t="str">
        <f t="shared" si="7"/>
        <v/>
      </c>
    </row>
    <row r="14" spans="1:22" x14ac:dyDescent="0.3">
      <c r="B14" s="31">
        <v>9</v>
      </c>
      <c r="C14" s="2" t="str">
        <f>IF(AND(Calibration!D17="yes",Calibration!B17&lt;&gt;""),Calibration!B17,"")</f>
        <v/>
      </c>
      <c r="D14" s="32">
        <f>IF(AND(Calibration!D17="yes",Calibration!C17&lt;&gt;""),Calibration!C17,0)</f>
        <v>0</v>
      </c>
      <c r="E14" s="4" t="str">
        <f t="shared" si="8"/>
        <v/>
      </c>
      <c r="F14" s="24"/>
      <c r="G14" s="46"/>
      <c r="H14" s="51"/>
      <c r="J14" s="2">
        <f t="shared" si="0"/>
        <v>77</v>
      </c>
      <c r="K14" s="48">
        <f t="shared" si="1"/>
        <v>-1.3683544303797408</v>
      </c>
      <c r="L14" s="48"/>
      <c r="M14" s="48"/>
      <c r="O14" s="31" t="str">
        <f t="shared" si="2"/>
        <v/>
      </c>
      <c r="P14" s="49" t="str">
        <f t="shared" si="3"/>
        <v/>
      </c>
      <c r="R14" s="53" t="str">
        <f t="shared" si="4"/>
        <v/>
      </c>
      <c r="S14" s="53" t="str">
        <f t="shared" si="5"/>
        <v/>
      </c>
      <c r="T14" s="53"/>
      <c r="U14" s="53" t="str">
        <f t="shared" si="6"/>
        <v/>
      </c>
      <c r="V14" s="53" t="str">
        <f t="shared" si="7"/>
        <v/>
      </c>
    </row>
    <row r="15" spans="1:22" x14ac:dyDescent="0.3">
      <c r="B15" s="31">
        <v>10</v>
      </c>
      <c r="C15" s="2" t="str">
        <f>IF(AND(Calibration!D18="yes",Calibration!B18&lt;&gt;""),Calibration!B18,"")</f>
        <v/>
      </c>
      <c r="D15" s="32">
        <f>IF(AND(Calibration!D18="yes",Calibration!C18&lt;&gt;""),Calibration!C18,0)</f>
        <v>0</v>
      </c>
      <c r="E15" s="4" t="str">
        <f t="shared" si="8"/>
        <v/>
      </c>
      <c r="F15" s="24"/>
      <c r="G15" s="46"/>
      <c r="H15" s="51"/>
      <c r="J15" s="2">
        <f t="shared" si="0"/>
        <v>80</v>
      </c>
      <c r="K15" s="48">
        <f t="shared" si="1"/>
        <v>-1.0835443037974626</v>
      </c>
      <c r="L15" s="48"/>
      <c r="M15" s="48"/>
      <c r="O15" s="31" t="str">
        <f t="shared" si="2"/>
        <v/>
      </c>
      <c r="P15" s="49" t="str">
        <f t="shared" si="3"/>
        <v/>
      </c>
      <c r="R15" s="53" t="str">
        <f t="shared" si="4"/>
        <v/>
      </c>
      <c r="S15" s="53" t="str">
        <f t="shared" si="5"/>
        <v/>
      </c>
      <c r="T15" s="53"/>
      <c r="U15" s="53" t="str">
        <f t="shared" si="6"/>
        <v/>
      </c>
      <c r="V15" s="53" t="str">
        <f t="shared" si="7"/>
        <v/>
      </c>
    </row>
    <row r="16" spans="1:22" x14ac:dyDescent="0.3">
      <c r="B16" s="31">
        <v>11</v>
      </c>
      <c r="C16" s="2" t="str">
        <f>IF(AND(Calibration!D19="yes",Calibration!B19&lt;&gt;""),Calibration!B19,"")</f>
        <v/>
      </c>
      <c r="D16" s="32">
        <f>IF(AND(Calibration!D19="yes",Calibration!C19&lt;&gt;""),Calibration!C19,0)</f>
        <v>0</v>
      </c>
      <c r="E16" s="4" t="str">
        <f t="shared" si="8"/>
        <v/>
      </c>
      <c r="F16" s="24"/>
      <c r="G16" s="46"/>
      <c r="H16" s="51"/>
      <c r="J16" s="2">
        <f t="shared" si="0"/>
        <v>83</v>
      </c>
      <c r="K16" s="48">
        <f t="shared" si="1"/>
        <v>-0.79873417721518436</v>
      </c>
      <c r="L16" s="48"/>
      <c r="M16" s="48"/>
      <c r="O16" s="31" t="str">
        <f t="shared" si="2"/>
        <v/>
      </c>
      <c r="P16" s="49" t="str">
        <f t="shared" si="3"/>
        <v/>
      </c>
      <c r="R16" s="53" t="str">
        <f t="shared" si="4"/>
        <v/>
      </c>
      <c r="S16" s="53" t="str">
        <f t="shared" si="5"/>
        <v/>
      </c>
      <c r="T16" s="53"/>
      <c r="U16" s="53" t="str">
        <f t="shared" si="6"/>
        <v/>
      </c>
      <c r="V16" s="53" t="str">
        <f t="shared" si="7"/>
        <v/>
      </c>
    </row>
    <row r="17" spans="2:22" x14ac:dyDescent="0.3">
      <c r="B17" s="31">
        <v>12</v>
      </c>
      <c r="C17" s="2" t="str">
        <f>IF(AND(Calibration!D20="yes",Calibration!B20&lt;&gt;""),Calibration!B20,"")</f>
        <v/>
      </c>
      <c r="D17" s="32">
        <f>IF(AND(Calibration!D20="yes",Calibration!C20&lt;&gt;""),Calibration!C20,0)</f>
        <v>0</v>
      </c>
      <c r="E17" s="4" t="str">
        <f t="shared" si="8"/>
        <v/>
      </c>
      <c r="F17" s="24"/>
      <c r="G17" s="46"/>
      <c r="H17" s="51"/>
      <c r="J17" s="2">
        <f t="shared" si="0"/>
        <v>86</v>
      </c>
      <c r="K17" s="48">
        <f t="shared" si="1"/>
        <v>-0.51392405063290525</v>
      </c>
      <c r="L17" s="48"/>
      <c r="M17" s="48"/>
      <c r="O17" s="31" t="str">
        <f t="shared" si="2"/>
        <v/>
      </c>
      <c r="P17" s="49" t="str">
        <f t="shared" si="3"/>
        <v/>
      </c>
      <c r="R17" s="53" t="str">
        <f t="shared" si="4"/>
        <v/>
      </c>
      <c r="S17" s="53" t="str">
        <f t="shared" si="5"/>
        <v/>
      </c>
      <c r="T17" s="53"/>
      <c r="U17" s="53" t="str">
        <f t="shared" si="6"/>
        <v/>
      </c>
      <c r="V17" s="53" t="str">
        <f t="shared" si="7"/>
        <v/>
      </c>
    </row>
    <row r="18" spans="2:22" x14ac:dyDescent="0.3">
      <c r="B18" s="31">
        <v>13</v>
      </c>
      <c r="C18" s="2" t="str">
        <f>IF(AND(Calibration!D21="yes",Calibration!B21&lt;&gt;""),Calibration!B21,"")</f>
        <v/>
      </c>
      <c r="D18" s="32">
        <f>IF(AND(Calibration!D21="yes",Calibration!C21&lt;&gt;""),Calibration!C21,0)</f>
        <v>0</v>
      </c>
      <c r="E18" s="4" t="str">
        <f t="shared" si="8"/>
        <v/>
      </c>
      <c r="F18" s="24"/>
      <c r="G18" s="46"/>
      <c r="H18" s="51"/>
      <c r="J18" s="2">
        <f t="shared" si="0"/>
        <v>89</v>
      </c>
      <c r="K18" s="48">
        <f t="shared" si="1"/>
        <v>-0.22911392405062792</v>
      </c>
      <c r="L18" s="48"/>
      <c r="M18" s="48"/>
      <c r="O18" s="31" t="str">
        <f t="shared" si="2"/>
        <v/>
      </c>
      <c r="P18" s="49" t="str">
        <f t="shared" si="3"/>
        <v/>
      </c>
      <c r="R18" s="53" t="str">
        <f t="shared" si="4"/>
        <v/>
      </c>
      <c r="S18" s="53" t="str">
        <f t="shared" si="5"/>
        <v/>
      </c>
      <c r="T18" s="53"/>
      <c r="U18" s="53" t="str">
        <f t="shared" si="6"/>
        <v/>
      </c>
      <c r="V18" s="53" t="str">
        <f t="shared" si="7"/>
        <v/>
      </c>
    </row>
    <row r="19" spans="2:22" x14ac:dyDescent="0.3">
      <c r="B19" s="31">
        <v>14</v>
      </c>
      <c r="C19" s="2" t="str">
        <f>IF(AND(Calibration!D22="yes",Calibration!B22&lt;&gt;""),Calibration!B22,"")</f>
        <v/>
      </c>
      <c r="D19" s="32">
        <f>IF(AND(Calibration!D22="yes",Calibration!C22&lt;&gt;""),Calibration!C22,0)</f>
        <v>0</v>
      </c>
      <c r="E19" s="4" t="str">
        <f t="shared" si="8"/>
        <v/>
      </c>
      <c r="F19" s="24"/>
      <c r="G19" s="46"/>
      <c r="H19" s="51"/>
      <c r="J19" s="2">
        <f t="shared" si="0"/>
        <v>92</v>
      </c>
      <c r="K19" s="48">
        <f t="shared" si="1"/>
        <v>5.5696202531651195E-2</v>
      </c>
      <c r="L19" s="48"/>
      <c r="M19" s="48"/>
      <c r="O19" s="31" t="str">
        <f t="shared" si="2"/>
        <v/>
      </c>
      <c r="P19" s="49" t="str">
        <f t="shared" si="3"/>
        <v/>
      </c>
      <c r="R19" s="53" t="str">
        <f t="shared" si="4"/>
        <v/>
      </c>
      <c r="S19" s="53" t="str">
        <f t="shared" si="5"/>
        <v/>
      </c>
      <c r="T19" s="53"/>
      <c r="U19" s="53" t="str">
        <f t="shared" si="6"/>
        <v/>
      </c>
      <c r="V19" s="53" t="str">
        <f t="shared" si="7"/>
        <v/>
      </c>
    </row>
    <row r="20" spans="2:22" x14ac:dyDescent="0.3">
      <c r="B20" s="33">
        <v>15</v>
      </c>
      <c r="C20" s="34" t="str">
        <f>IF(AND(Calibration!D23="yes",Calibration!B23&lt;&gt;""),Calibration!B23,"")</f>
        <v/>
      </c>
      <c r="D20" s="35">
        <f>IF(AND(Calibration!D23="yes",Calibration!C23&lt;&gt;""),Calibration!C23,0)</f>
        <v>0</v>
      </c>
      <c r="E20" s="4" t="str">
        <f t="shared" si="8"/>
        <v/>
      </c>
      <c r="F20" s="25"/>
      <c r="G20" s="47"/>
      <c r="H20" s="51"/>
      <c r="J20" s="2">
        <f t="shared" si="0"/>
        <v>95</v>
      </c>
      <c r="K20" s="48">
        <f t="shared" si="1"/>
        <v>0.34050632911393031</v>
      </c>
      <c r="L20" s="48"/>
      <c r="M20" s="48"/>
      <c r="O20" s="33" t="str">
        <f t="shared" si="2"/>
        <v/>
      </c>
      <c r="P20" s="50" t="str">
        <f t="shared" si="3"/>
        <v/>
      </c>
      <c r="R20" s="53" t="str">
        <f t="shared" si="4"/>
        <v/>
      </c>
      <c r="S20" s="53" t="str">
        <f t="shared" si="5"/>
        <v/>
      </c>
      <c r="T20" s="53"/>
      <c r="U20" s="53" t="str">
        <f t="shared" si="6"/>
        <v/>
      </c>
      <c r="V20" s="53" t="str">
        <f t="shared" si="7"/>
        <v/>
      </c>
    </row>
    <row r="21" spans="2:22" x14ac:dyDescent="0.3">
      <c r="J21" s="2">
        <f t="shared" si="0"/>
        <v>98</v>
      </c>
      <c r="K21" s="48">
        <f t="shared" si="1"/>
        <v>0.62531645569620764</v>
      </c>
      <c r="L21" s="48"/>
      <c r="M21" s="48"/>
      <c r="Q21" t="s">
        <v>43</v>
      </c>
      <c r="S21" s="48">
        <f>SUM(S5:S20)</f>
        <v>6.8354430379746756E-3</v>
      </c>
      <c r="T21" s="48"/>
      <c r="U21" s="48"/>
      <c r="V21" s="48">
        <f t="shared" ref="V21" si="9">SUM(V5:V20)</f>
        <v>89.01</v>
      </c>
    </row>
    <row r="22" spans="2:22" x14ac:dyDescent="0.3">
      <c r="B22" s="3" t="s">
        <v>1</v>
      </c>
      <c r="C22" s="2">
        <f>IF(Calibration!F8="Linear",1,IF(Calibration!F8="Polynomial [2]",2,IF(Calibration!F8="Polynomial [3]",3,IF(Calibration!F8="Polynomial [4]",4,5))))</f>
        <v>1</v>
      </c>
      <c r="J22" s="2">
        <f t="shared" si="0"/>
        <v>101</v>
      </c>
      <c r="K22" s="48">
        <f t="shared" si="1"/>
        <v>0.91012658227848675</v>
      </c>
      <c r="L22" s="48"/>
      <c r="M22" s="48"/>
      <c r="Q22" t="s">
        <v>37</v>
      </c>
      <c r="R22" s="53">
        <f>1-S21/V21</f>
        <v>0.99992320589778705</v>
      </c>
    </row>
    <row r="23" spans="2:22" x14ac:dyDescent="0.3">
      <c r="J23" s="2">
        <f t="shared" si="0"/>
        <v>104</v>
      </c>
      <c r="K23" s="48">
        <f t="shared" si="1"/>
        <v>1.1949367088607641</v>
      </c>
      <c r="L23" s="48"/>
      <c r="M23" s="48"/>
    </row>
    <row r="24" spans="2:22" x14ac:dyDescent="0.3">
      <c r="B24" t="s">
        <v>34</v>
      </c>
      <c r="J24" s="2">
        <f t="shared" si="0"/>
        <v>107</v>
      </c>
      <c r="K24" s="48">
        <f t="shared" si="1"/>
        <v>1.4797468354430432</v>
      </c>
      <c r="L24" s="48"/>
      <c r="M24" s="48"/>
    </row>
    <row r="25" spans="2:22" x14ac:dyDescent="0.3">
      <c r="B25" s="41"/>
      <c r="C25" s="37">
        <v>5</v>
      </c>
      <c r="D25" s="37">
        <v>4</v>
      </c>
      <c r="E25" s="37">
        <v>3</v>
      </c>
      <c r="F25" s="37">
        <v>2</v>
      </c>
      <c r="G25" s="37">
        <v>1</v>
      </c>
      <c r="H25" s="38">
        <v>0</v>
      </c>
      <c r="J25" s="2">
        <f t="shared" si="0"/>
        <v>110</v>
      </c>
      <c r="K25" s="48">
        <f t="shared" si="1"/>
        <v>1.7645569620253205</v>
      </c>
      <c r="L25" s="48"/>
      <c r="M25" s="48"/>
    </row>
    <row r="26" spans="2:22" x14ac:dyDescent="0.3">
      <c r="B26" s="39">
        <v>0</v>
      </c>
      <c r="C26" s="1">
        <f t="shared" ref="C26:C41" si="10">IF(AND(C5&lt;&gt;"",$C$22&gt;=C$25),$C5^C$25,0)</f>
        <v>0</v>
      </c>
      <c r="D26" s="1">
        <f t="shared" ref="D26:D41" si="11">IF(AND(C5&lt;&gt;"",$C$22&gt;=D$25),$C5^D$25,0)</f>
        <v>0</v>
      </c>
      <c r="E26" s="1">
        <f t="shared" ref="E26:E41" si="12">IF(AND(C5&lt;&gt;"",$C$22&gt;=E$25),$C5^E$25,0)</f>
        <v>0</v>
      </c>
      <c r="F26" s="1">
        <f t="shared" ref="F26:F41" si="13">IF(AND(C5&lt;&gt;"",$C$22&gt;=F$25),$C5^F$25,0)</f>
        <v>0</v>
      </c>
      <c r="G26" s="1">
        <f t="shared" ref="G26:G41" si="14">IF(AND(C5&lt;&gt;"",$C$22&gt;=G$25),$C5^G$25,0)</f>
        <v>60</v>
      </c>
      <c r="H26" s="42">
        <f>IF(AND(C5&lt;&gt;"",C5&lt;&gt;0,$C$22&gt;=H$25),$C5^H$25,0)</f>
        <v>1</v>
      </c>
      <c r="J26" s="2">
        <f t="shared" si="0"/>
        <v>113</v>
      </c>
      <c r="K26" s="48">
        <f t="shared" si="1"/>
        <v>2.0493670886075996</v>
      </c>
      <c r="L26" s="48"/>
      <c r="M26" s="48"/>
    </row>
    <row r="27" spans="2:22" x14ac:dyDescent="0.3">
      <c r="B27" s="39">
        <v>1</v>
      </c>
      <c r="C27" s="1">
        <f t="shared" si="10"/>
        <v>0</v>
      </c>
      <c r="D27" s="1">
        <f t="shared" si="11"/>
        <v>0</v>
      </c>
      <c r="E27" s="1">
        <f t="shared" si="12"/>
        <v>0</v>
      </c>
      <c r="F27" s="1">
        <f t="shared" si="13"/>
        <v>0</v>
      </c>
      <c r="G27" s="1">
        <f t="shared" si="14"/>
        <v>150</v>
      </c>
      <c r="H27" s="42">
        <f t="shared" ref="H27:H41" si="15">IF(AND(C6&lt;&gt;"",C6&lt;&gt;0,$C$22&gt;=H$25),$C6^H$25,0)</f>
        <v>1</v>
      </c>
      <c r="J27" s="2">
        <f t="shared" si="0"/>
        <v>116</v>
      </c>
      <c r="K27" s="48">
        <f t="shared" si="1"/>
        <v>2.3341772151898788</v>
      </c>
      <c r="L27" s="48"/>
      <c r="M27" s="48"/>
    </row>
    <row r="28" spans="2:22" x14ac:dyDescent="0.3">
      <c r="B28" s="39">
        <v>2</v>
      </c>
      <c r="C28" s="1">
        <f t="shared" si="10"/>
        <v>0</v>
      </c>
      <c r="D28" s="1">
        <f t="shared" si="11"/>
        <v>0</v>
      </c>
      <c r="E28" s="1">
        <f t="shared" si="12"/>
        <v>0</v>
      </c>
      <c r="F28" s="1">
        <f t="shared" si="13"/>
        <v>0</v>
      </c>
      <c r="G28" s="1">
        <f t="shared" si="14"/>
        <v>170</v>
      </c>
      <c r="H28" s="42">
        <f t="shared" si="15"/>
        <v>1</v>
      </c>
      <c r="J28" s="2">
        <f t="shared" si="0"/>
        <v>119</v>
      </c>
      <c r="K28" s="48">
        <f t="shared" si="1"/>
        <v>2.6189873417721561</v>
      </c>
      <c r="L28" s="48"/>
      <c r="M28" s="48"/>
    </row>
    <row r="29" spans="2:22" x14ac:dyDescent="0.3">
      <c r="B29" s="39">
        <v>3</v>
      </c>
      <c r="C29" s="1">
        <f t="shared" si="10"/>
        <v>0</v>
      </c>
      <c r="D29" s="1">
        <f t="shared" si="11"/>
        <v>0</v>
      </c>
      <c r="E29" s="1">
        <f t="shared" si="12"/>
        <v>0</v>
      </c>
      <c r="F29" s="1">
        <f t="shared" si="13"/>
        <v>0</v>
      </c>
      <c r="G29" s="1">
        <f t="shared" si="14"/>
        <v>190</v>
      </c>
      <c r="H29" s="42">
        <f t="shared" si="15"/>
        <v>1</v>
      </c>
      <c r="J29" s="2">
        <f t="shared" si="0"/>
        <v>122</v>
      </c>
      <c r="K29" s="48">
        <f t="shared" si="1"/>
        <v>2.9037974683544352</v>
      </c>
      <c r="L29" s="48"/>
      <c r="M29" s="48"/>
    </row>
    <row r="30" spans="2:22" x14ac:dyDescent="0.3">
      <c r="B30" s="39">
        <v>4</v>
      </c>
      <c r="C30" s="1">
        <f t="shared" si="10"/>
        <v>0</v>
      </c>
      <c r="D30" s="1">
        <f t="shared" si="11"/>
        <v>0</v>
      </c>
      <c r="E30" s="1">
        <f t="shared" si="12"/>
        <v>0</v>
      </c>
      <c r="F30" s="1">
        <f t="shared" si="13"/>
        <v>0</v>
      </c>
      <c r="G30" s="1">
        <f t="shared" si="14"/>
        <v>0</v>
      </c>
      <c r="H30" s="42">
        <f t="shared" si="15"/>
        <v>0</v>
      </c>
      <c r="J30" s="2">
        <f t="shared" si="0"/>
        <v>125</v>
      </c>
      <c r="K30" s="48">
        <f t="shared" si="1"/>
        <v>3.1886075949367125</v>
      </c>
      <c r="L30" s="48"/>
      <c r="M30" s="48"/>
    </row>
    <row r="31" spans="2:22" x14ac:dyDescent="0.3">
      <c r="B31" s="39">
        <v>5</v>
      </c>
      <c r="C31" s="1">
        <f t="shared" si="10"/>
        <v>0</v>
      </c>
      <c r="D31" s="1">
        <f t="shared" si="11"/>
        <v>0</v>
      </c>
      <c r="E31" s="1">
        <f t="shared" si="12"/>
        <v>0</v>
      </c>
      <c r="F31" s="1">
        <f t="shared" si="13"/>
        <v>0</v>
      </c>
      <c r="G31" s="1">
        <f t="shared" si="14"/>
        <v>0</v>
      </c>
      <c r="H31" s="42">
        <f t="shared" si="15"/>
        <v>0</v>
      </c>
      <c r="J31" s="2">
        <f t="shared" si="0"/>
        <v>128</v>
      </c>
      <c r="K31" s="48">
        <f t="shared" si="1"/>
        <v>3.4734177215189916</v>
      </c>
      <c r="L31" s="48"/>
      <c r="M31" s="48"/>
    </row>
    <row r="32" spans="2:22" x14ac:dyDescent="0.3">
      <c r="B32" s="39">
        <v>6</v>
      </c>
      <c r="C32" s="1">
        <f t="shared" si="10"/>
        <v>0</v>
      </c>
      <c r="D32" s="1">
        <f t="shared" si="11"/>
        <v>0</v>
      </c>
      <c r="E32" s="1">
        <f t="shared" si="12"/>
        <v>0</v>
      </c>
      <c r="F32" s="1">
        <f t="shared" si="13"/>
        <v>0</v>
      </c>
      <c r="G32" s="1">
        <f t="shared" si="14"/>
        <v>0</v>
      </c>
      <c r="H32" s="42">
        <f t="shared" si="15"/>
        <v>0</v>
      </c>
      <c r="J32" s="2">
        <f t="shared" si="0"/>
        <v>131</v>
      </c>
      <c r="K32" s="48">
        <f t="shared" si="1"/>
        <v>3.7582278481012708</v>
      </c>
      <c r="L32" s="48"/>
      <c r="M32" s="48"/>
    </row>
    <row r="33" spans="2:13" x14ac:dyDescent="0.3">
      <c r="B33" s="39">
        <v>7</v>
      </c>
      <c r="C33" s="1">
        <f t="shared" si="10"/>
        <v>0</v>
      </c>
      <c r="D33" s="1">
        <f t="shared" si="11"/>
        <v>0</v>
      </c>
      <c r="E33" s="1">
        <f t="shared" si="12"/>
        <v>0</v>
      </c>
      <c r="F33" s="1">
        <f t="shared" si="13"/>
        <v>0</v>
      </c>
      <c r="G33" s="1">
        <f t="shared" si="14"/>
        <v>0</v>
      </c>
      <c r="H33" s="42">
        <f t="shared" si="15"/>
        <v>0</v>
      </c>
      <c r="J33" s="2">
        <f t="shared" si="0"/>
        <v>134</v>
      </c>
      <c r="K33" s="48">
        <f t="shared" si="1"/>
        <v>4.0430379746835481</v>
      </c>
      <c r="L33" s="48"/>
      <c r="M33" s="48"/>
    </row>
    <row r="34" spans="2:13" x14ac:dyDescent="0.3">
      <c r="B34" s="39">
        <v>8</v>
      </c>
      <c r="C34" s="1">
        <f t="shared" si="10"/>
        <v>0</v>
      </c>
      <c r="D34" s="1">
        <f t="shared" si="11"/>
        <v>0</v>
      </c>
      <c r="E34" s="1">
        <f t="shared" si="12"/>
        <v>0</v>
      </c>
      <c r="F34" s="1">
        <f t="shared" si="13"/>
        <v>0</v>
      </c>
      <c r="G34" s="1">
        <f t="shared" si="14"/>
        <v>0</v>
      </c>
      <c r="H34" s="42">
        <f t="shared" si="15"/>
        <v>0</v>
      </c>
      <c r="J34" s="2">
        <f t="shared" si="0"/>
        <v>137</v>
      </c>
      <c r="K34" s="48">
        <f t="shared" si="1"/>
        <v>4.3278481012658272</v>
      </c>
      <c r="L34" s="48"/>
      <c r="M34" s="48"/>
    </row>
    <row r="35" spans="2:13" x14ac:dyDescent="0.3">
      <c r="B35" s="39">
        <v>9</v>
      </c>
      <c r="C35" s="1">
        <f t="shared" si="10"/>
        <v>0</v>
      </c>
      <c r="D35" s="1">
        <f t="shared" si="11"/>
        <v>0</v>
      </c>
      <c r="E35" s="1">
        <f t="shared" si="12"/>
        <v>0</v>
      </c>
      <c r="F35" s="1">
        <f t="shared" si="13"/>
        <v>0</v>
      </c>
      <c r="G35" s="1">
        <f t="shared" si="14"/>
        <v>0</v>
      </c>
      <c r="H35" s="42">
        <f t="shared" si="15"/>
        <v>0</v>
      </c>
      <c r="J35" s="2">
        <f t="shared" si="0"/>
        <v>140</v>
      </c>
      <c r="K35" s="48">
        <f t="shared" si="1"/>
        <v>4.6126582278481045</v>
      </c>
      <c r="L35" s="48"/>
      <c r="M35" s="48"/>
    </row>
    <row r="36" spans="2:13" x14ac:dyDescent="0.3">
      <c r="B36" s="39">
        <v>10</v>
      </c>
      <c r="C36" s="1">
        <f t="shared" si="10"/>
        <v>0</v>
      </c>
      <c r="D36" s="1">
        <f t="shared" si="11"/>
        <v>0</v>
      </c>
      <c r="E36" s="1">
        <f t="shared" si="12"/>
        <v>0</v>
      </c>
      <c r="F36" s="1">
        <f t="shared" si="13"/>
        <v>0</v>
      </c>
      <c r="G36" s="1">
        <f t="shared" si="14"/>
        <v>0</v>
      </c>
      <c r="H36" s="42">
        <f t="shared" si="15"/>
        <v>0</v>
      </c>
      <c r="J36" s="2">
        <f t="shared" si="0"/>
        <v>143</v>
      </c>
      <c r="K36" s="48">
        <f t="shared" si="1"/>
        <v>4.8974683544303836</v>
      </c>
      <c r="L36" s="48"/>
      <c r="M36" s="48"/>
    </row>
    <row r="37" spans="2:13" x14ac:dyDescent="0.3">
      <c r="B37" s="39">
        <v>11</v>
      </c>
      <c r="C37" s="1">
        <f t="shared" si="10"/>
        <v>0</v>
      </c>
      <c r="D37" s="1">
        <f t="shared" si="11"/>
        <v>0</v>
      </c>
      <c r="E37" s="1">
        <f t="shared" si="12"/>
        <v>0</v>
      </c>
      <c r="F37" s="1">
        <f t="shared" si="13"/>
        <v>0</v>
      </c>
      <c r="G37" s="1">
        <f t="shared" si="14"/>
        <v>0</v>
      </c>
      <c r="H37" s="42">
        <f t="shared" si="15"/>
        <v>0</v>
      </c>
      <c r="J37" s="2">
        <f t="shared" si="0"/>
        <v>146</v>
      </c>
      <c r="K37" s="48">
        <f t="shared" si="1"/>
        <v>5.1822784810126628</v>
      </c>
      <c r="L37" s="48"/>
      <c r="M37" s="48"/>
    </row>
    <row r="38" spans="2:13" x14ac:dyDescent="0.3">
      <c r="B38" s="39">
        <v>12</v>
      </c>
      <c r="C38" s="1">
        <f t="shared" si="10"/>
        <v>0</v>
      </c>
      <c r="D38" s="1">
        <f t="shared" si="11"/>
        <v>0</v>
      </c>
      <c r="E38" s="1">
        <f t="shared" si="12"/>
        <v>0</v>
      </c>
      <c r="F38" s="1">
        <f t="shared" si="13"/>
        <v>0</v>
      </c>
      <c r="G38" s="1">
        <f t="shared" si="14"/>
        <v>0</v>
      </c>
      <c r="H38" s="42">
        <f t="shared" si="15"/>
        <v>0</v>
      </c>
      <c r="J38" s="2">
        <f t="shared" ref="J38:J54" si="16">J37+$K$3/50</f>
        <v>149</v>
      </c>
      <c r="K38" s="48">
        <f t="shared" si="1"/>
        <v>5.4670886075949401</v>
      </c>
      <c r="L38" s="48"/>
      <c r="M38" s="48"/>
    </row>
    <row r="39" spans="2:13" x14ac:dyDescent="0.3">
      <c r="B39" s="39">
        <v>13</v>
      </c>
      <c r="C39" s="1">
        <f t="shared" si="10"/>
        <v>0</v>
      </c>
      <c r="D39" s="1">
        <f t="shared" si="11"/>
        <v>0</v>
      </c>
      <c r="E39" s="1">
        <f t="shared" si="12"/>
        <v>0</v>
      </c>
      <c r="F39" s="1">
        <f t="shared" si="13"/>
        <v>0</v>
      </c>
      <c r="G39" s="1">
        <f t="shared" si="14"/>
        <v>0</v>
      </c>
      <c r="H39" s="42">
        <f t="shared" si="15"/>
        <v>0</v>
      </c>
      <c r="J39" s="2">
        <f t="shared" si="16"/>
        <v>152</v>
      </c>
      <c r="K39" s="48">
        <f t="shared" si="1"/>
        <v>5.7518987341772192</v>
      </c>
      <c r="L39" s="48"/>
      <c r="M39" s="48"/>
    </row>
    <row r="40" spans="2:13" x14ac:dyDescent="0.3">
      <c r="B40" s="39">
        <v>14</v>
      </c>
      <c r="C40" s="1">
        <f t="shared" si="10"/>
        <v>0</v>
      </c>
      <c r="D40" s="1">
        <f t="shared" si="11"/>
        <v>0</v>
      </c>
      <c r="E40" s="1">
        <f t="shared" si="12"/>
        <v>0</v>
      </c>
      <c r="F40" s="1">
        <f t="shared" si="13"/>
        <v>0</v>
      </c>
      <c r="G40" s="1">
        <f t="shared" si="14"/>
        <v>0</v>
      </c>
      <c r="H40" s="42">
        <f t="shared" si="15"/>
        <v>0</v>
      </c>
      <c r="J40" s="2">
        <f t="shared" si="16"/>
        <v>155</v>
      </c>
      <c r="K40" s="48">
        <f t="shared" si="1"/>
        <v>6.0367088607594965</v>
      </c>
      <c r="L40" s="48"/>
      <c r="M40" s="48"/>
    </row>
    <row r="41" spans="2:13" x14ac:dyDescent="0.3">
      <c r="B41" s="43">
        <v>15</v>
      </c>
      <c r="C41" s="44">
        <f t="shared" si="10"/>
        <v>0</v>
      </c>
      <c r="D41" s="44">
        <f t="shared" si="11"/>
        <v>0</v>
      </c>
      <c r="E41" s="44">
        <f t="shared" si="12"/>
        <v>0</v>
      </c>
      <c r="F41" s="44">
        <f t="shared" si="13"/>
        <v>0</v>
      </c>
      <c r="G41" s="44">
        <f t="shared" si="14"/>
        <v>0</v>
      </c>
      <c r="H41" s="45">
        <f t="shared" si="15"/>
        <v>0</v>
      </c>
      <c r="J41" s="2">
        <f t="shared" si="16"/>
        <v>158</v>
      </c>
      <c r="K41" s="48">
        <f t="shared" si="1"/>
        <v>6.3215189873417756</v>
      </c>
      <c r="L41" s="48"/>
      <c r="M41" s="48"/>
    </row>
    <row r="42" spans="2:13" x14ac:dyDescent="0.3">
      <c r="J42" s="2">
        <f t="shared" si="16"/>
        <v>161</v>
      </c>
      <c r="K42" s="48">
        <f t="shared" si="1"/>
        <v>6.606329113924053</v>
      </c>
      <c r="L42" s="48"/>
      <c r="M42" s="48"/>
    </row>
    <row r="43" spans="2:13" x14ac:dyDescent="0.3">
      <c r="C43" s="2" t="s">
        <v>7</v>
      </c>
      <c r="D43" s="2" t="s">
        <v>8</v>
      </c>
      <c r="E43" s="2" t="s">
        <v>9</v>
      </c>
      <c r="F43" s="2" t="s">
        <v>10</v>
      </c>
      <c r="G43" s="2" t="s">
        <v>11</v>
      </c>
      <c r="H43" s="2" t="s">
        <v>12</v>
      </c>
      <c r="J43" s="2">
        <f t="shared" si="16"/>
        <v>164</v>
      </c>
      <c r="K43" s="48">
        <f t="shared" si="1"/>
        <v>6.8911392405063321</v>
      </c>
      <c r="L43" s="48"/>
      <c r="M43" s="48"/>
    </row>
    <row r="44" spans="2:13" x14ac:dyDescent="0.3">
      <c r="C44" s="1">
        <f t="array" ref="C44:H44">LINEST(D5:D20,C26:H41,FALSE,FALSE)</f>
        <v>-8.678481012658219</v>
      </c>
      <c r="D44" s="2">
        <v>9.4936708860759458E-2</v>
      </c>
      <c r="E44" s="2">
        <v>0</v>
      </c>
      <c r="F44" s="2">
        <v>0</v>
      </c>
      <c r="G44" s="2">
        <v>0</v>
      </c>
      <c r="H44" s="2">
        <v>0</v>
      </c>
      <c r="J44" s="2">
        <f t="shared" si="16"/>
        <v>167</v>
      </c>
      <c r="K44" s="48">
        <f t="shared" si="1"/>
        <v>7.1759493670886112</v>
      </c>
      <c r="L44" s="48"/>
      <c r="M44" s="48"/>
    </row>
    <row r="45" spans="2:13" x14ac:dyDescent="0.3">
      <c r="J45" s="2">
        <f t="shared" si="16"/>
        <v>170</v>
      </c>
      <c r="K45" s="48">
        <f t="shared" si="1"/>
        <v>7.4607594936708903</v>
      </c>
      <c r="L45" s="48"/>
      <c r="M45" s="48"/>
    </row>
    <row r="46" spans="2:13" x14ac:dyDescent="0.3">
      <c r="C46" t="e" cm="1">
        <f t="array" ref="C46">LINEST(G5:G20,C26:H41,FALSE,FALSE)</f>
        <v>#VALUE!</v>
      </c>
      <c r="J46" s="2">
        <f t="shared" si="16"/>
        <v>173</v>
      </c>
      <c r="K46" s="48">
        <f t="shared" si="1"/>
        <v>7.7455696202531659</v>
      </c>
      <c r="L46" s="48"/>
      <c r="M46" s="48"/>
    </row>
    <row r="47" spans="2:13" x14ac:dyDescent="0.3">
      <c r="J47" s="2">
        <f t="shared" si="16"/>
        <v>176</v>
      </c>
      <c r="K47" s="48">
        <f t="shared" si="1"/>
        <v>8.030379746835445</v>
      </c>
      <c r="L47" s="48"/>
      <c r="M47" s="48"/>
    </row>
    <row r="48" spans="2:13" x14ac:dyDescent="0.3">
      <c r="C48" t="e">
        <f t="array" ref="C48:H48">LINEST(G5:G20,C26:H41,FALSE,FALSE)</f>
        <v>#VALUE!</v>
      </c>
      <c r="D48" t="e">
        <v>#VALUE!</v>
      </c>
      <c r="E48" t="e">
        <v>#VALUE!</v>
      </c>
      <c r="F48" t="e">
        <v>#VALUE!</v>
      </c>
      <c r="G48" t="e">
        <v>#VALUE!</v>
      </c>
      <c r="H48" t="e">
        <v>#VALUE!</v>
      </c>
      <c r="J48" s="2">
        <f t="shared" si="16"/>
        <v>179</v>
      </c>
      <c r="K48" s="48">
        <f t="shared" si="1"/>
        <v>8.3151898734177241</v>
      </c>
      <c r="L48" s="48"/>
      <c r="M48" s="48"/>
    </row>
    <row r="49" spans="1:13" x14ac:dyDescent="0.3">
      <c r="J49" s="2">
        <f t="shared" si="16"/>
        <v>182</v>
      </c>
      <c r="K49" s="48">
        <f t="shared" si="1"/>
        <v>8.6000000000000032</v>
      </c>
      <c r="L49" s="48"/>
      <c r="M49" s="48"/>
    </row>
    <row r="50" spans="1:13" x14ac:dyDescent="0.3">
      <c r="J50" s="2">
        <f t="shared" si="16"/>
        <v>185</v>
      </c>
      <c r="K50" s="48">
        <f t="shared" si="1"/>
        <v>8.8848101265822823</v>
      </c>
      <c r="L50" s="48"/>
      <c r="M50" s="48"/>
    </row>
    <row r="51" spans="1:13" x14ac:dyDescent="0.3">
      <c r="J51" s="2">
        <f t="shared" si="16"/>
        <v>188</v>
      </c>
      <c r="K51" s="48">
        <f t="shared" si="1"/>
        <v>9.1696202531645579</v>
      </c>
      <c r="L51" s="48"/>
      <c r="M51" s="48"/>
    </row>
    <row r="52" spans="1:13" x14ac:dyDescent="0.3">
      <c r="J52" s="2">
        <f t="shared" si="16"/>
        <v>191</v>
      </c>
      <c r="K52" s="48">
        <f t="shared" si="1"/>
        <v>9.454430379746837</v>
      </c>
      <c r="L52" s="48"/>
      <c r="M52" s="48"/>
    </row>
    <row r="53" spans="1:13" x14ac:dyDescent="0.3">
      <c r="J53" s="2">
        <f t="shared" si="16"/>
        <v>194</v>
      </c>
      <c r="K53" s="48">
        <f t="shared" si="1"/>
        <v>9.7392405063291161</v>
      </c>
      <c r="L53" s="48"/>
      <c r="M53" s="48"/>
    </row>
    <row r="54" spans="1:13" x14ac:dyDescent="0.3">
      <c r="J54" s="2">
        <f t="shared" si="16"/>
        <v>197</v>
      </c>
      <c r="K54" s="48">
        <f t="shared" si="1"/>
        <v>10.024050632911395</v>
      </c>
      <c r="L54" s="48"/>
      <c r="M54" s="48"/>
    </row>
    <row r="55" spans="1:13" x14ac:dyDescent="0.3">
      <c r="J55" s="52">
        <f>MAX(F5:F20)+Calibration!$G$9</f>
        <v>200</v>
      </c>
      <c r="K55" s="48">
        <f t="shared" si="1"/>
        <v>10.308860759493674</v>
      </c>
      <c r="L55" s="48"/>
      <c r="M55" s="48"/>
    </row>
    <row r="60" spans="1:13" x14ac:dyDescent="0.3">
      <c r="A60" t="s">
        <v>15</v>
      </c>
    </row>
    <row r="62" spans="1:13" x14ac:dyDescent="0.3">
      <c r="B62" s="2" t="s">
        <v>52</v>
      </c>
      <c r="F62" s="2" t="s">
        <v>53</v>
      </c>
    </row>
    <row r="63" spans="1:13" x14ac:dyDescent="0.3">
      <c r="A63" t="s">
        <v>51</v>
      </c>
      <c r="B63" s="2">
        <v>2.5</v>
      </c>
      <c r="C63" s="2">
        <v>1</v>
      </c>
      <c r="D63" s="2">
        <v>0.25</v>
      </c>
      <c r="F63" s="2">
        <f>B63</f>
        <v>2.5</v>
      </c>
      <c r="G63" s="2">
        <f>C63</f>
        <v>1</v>
      </c>
      <c r="H63" s="2">
        <f>D63</f>
        <v>0.25</v>
      </c>
    </row>
    <row r="65" spans="1:8" x14ac:dyDescent="0.3">
      <c r="A65" s="71">
        <v>0</v>
      </c>
      <c r="B65" s="72">
        <f>$A65/B$63</f>
        <v>0</v>
      </c>
      <c r="C65" s="72">
        <f t="shared" ref="C65:D80" si="17">$A65/C$63</f>
        <v>0</v>
      </c>
      <c r="D65" s="72">
        <f t="shared" si="17"/>
        <v>0</v>
      </c>
      <c r="E65" s="1"/>
      <c r="F65" s="72">
        <f>($A65)/($A65+(1-$A65)*F$63)</f>
        <v>0</v>
      </c>
      <c r="G65" s="72">
        <f t="shared" ref="G65:H80" si="18">($A65)/($A65+(1-$A65)*G$63)</f>
        <v>0</v>
      </c>
      <c r="H65" s="72">
        <f t="shared" si="18"/>
        <v>0</v>
      </c>
    </row>
    <row r="66" spans="1:8" x14ac:dyDescent="0.3">
      <c r="A66" s="71">
        <v>0.05</v>
      </c>
      <c r="B66" s="72">
        <f t="shared" ref="B66:D85" si="19">$A66/B$63</f>
        <v>0.02</v>
      </c>
      <c r="C66" s="72">
        <f t="shared" si="17"/>
        <v>0.05</v>
      </c>
      <c r="D66" s="72">
        <f t="shared" si="17"/>
        <v>0.2</v>
      </c>
      <c r="E66" s="1"/>
      <c r="F66" s="72">
        <f t="shared" ref="F66:H85" si="20">($A66)/($A66+(1-$A66)*F$63)</f>
        <v>2.0618556701030931E-2</v>
      </c>
      <c r="G66" s="72">
        <f t="shared" si="18"/>
        <v>0.05</v>
      </c>
      <c r="H66" s="72">
        <f t="shared" si="18"/>
        <v>0.17391304347826089</v>
      </c>
    </row>
    <row r="67" spans="1:8" x14ac:dyDescent="0.3">
      <c r="A67" s="71">
        <v>0.1</v>
      </c>
      <c r="B67" s="72">
        <f t="shared" si="19"/>
        <v>0.04</v>
      </c>
      <c r="C67" s="72">
        <f t="shared" si="17"/>
        <v>0.1</v>
      </c>
      <c r="D67" s="72">
        <f t="shared" si="17"/>
        <v>0.4</v>
      </c>
      <c r="E67" s="1"/>
      <c r="F67" s="72">
        <f t="shared" si="20"/>
        <v>4.2553191489361701E-2</v>
      </c>
      <c r="G67" s="72">
        <f t="shared" si="18"/>
        <v>0.1</v>
      </c>
      <c r="H67" s="72">
        <f t="shared" si="18"/>
        <v>0.30769230769230771</v>
      </c>
    </row>
    <row r="68" spans="1:8" x14ac:dyDescent="0.3">
      <c r="A68" s="71">
        <v>0.15</v>
      </c>
      <c r="B68" s="72">
        <f t="shared" si="19"/>
        <v>0.06</v>
      </c>
      <c r="C68" s="72">
        <f t="shared" si="17"/>
        <v>0.15</v>
      </c>
      <c r="D68" s="72">
        <f t="shared" si="17"/>
        <v>0.6</v>
      </c>
      <c r="E68" s="1"/>
      <c r="F68" s="72">
        <f t="shared" si="20"/>
        <v>6.5934065934065936E-2</v>
      </c>
      <c r="G68" s="72">
        <f t="shared" si="18"/>
        <v>0.15</v>
      </c>
      <c r="H68" s="72">
        <f t="shared" si="18"/>
        <v>0.41379310344827586</v>
      </c>
    </row>
    <row r="69" spans="1:8" x14ac:dyDescent="0.3">
      <c r="A69" s="71">
        <v>0.2</v>
      </c>
      <c r="B69" s="72">
        <f t="shared" si="19"/>
        <v>0.08</v>
      </c>
      <c r="C69" s="72">
        <f t="shared" si="17"/>
        <v>0.2</v>
      </c>
      <c r="D69" s="72">
        <f t="shared" si="17"/>
        <v>0.8</v>
      </c>
      <c r="E69" s="1"/>
      <c r="F69" s="72">
        <f t="shared" si="20"/>
        <v>9.0909090909090912E-2</v>
      </c>
      <c r="G69" s="72">
        <f t="shared" si="18"/>
        <v>0.2</v>
      </c>
      <c r="H69" s="72">
        <f t="shared" si="18"/>
        <v>0.5</v>
      </c>
    </row>
    <row r="70" spans="1:8" x14ac:dyDescent="0.3">
      <c r="A70" s="71">
        <v>0.25</v>
      </c>
      <c r="B70" s="72">
        <f t="shared" si="19"/>
        <v>0.1</v>
      </c>
      <c r="C70" s="72">
        <f t="shared" si="17"/>
        <v>0.25</v>
      </c>
      <c r="D70" s="72">
        <f t="shared" si="17"/>
        <v>1</v>
      </c>
      <c r="E70" s="1"/>
      <c r="F70" s="72">
        <f t="shared" si="20"/>
        <v>0.11764705882352941</v>
      </c>
      <c r="G70" s="72">
        <f t="shared" si="18"/>
        <v>0.25</v>
      </c>
      <c r="H70" s="72">
        <f t="shared" si="18"/>
        <v>0.5714285714285714</v>
      </c>
    </row>
    <row r="71" spans="1:8" x14ac:dyDescent="0.3">
      <c r="A71" s="71">
        <v>0.3</v>
      </c>
      <c r="B71" s="72">
        <f t="shared" si="19"/>
        <v>0.12</v>
      </c>
      <c r="C71" s="72">
        <f t="shared" si="17"/>
        <v>0.3</v>
      </c>
      <c r="D71" s="72">
        <f t="shared" si="17"/>
        <v>1.2</v>
      </c>
      <c r="E71" s="1"/>
      <c r="F71" s="72">
        <f t="shared" si="20"/>
        <v>0.14634146341463417</v>
      </c>
      <c r="G71" s="72">
        <f t="shared" si="18"/>
        <v>0.3</v>
      </c>
      <c r="H71" s="72">
        <f t="shared" si="18"/>
        <v>0.63157894736842102</v>
      </c>
    </row>
    <row r="72" spans="1:8" x14ac:dyDescent="0.3">
      <c r="A72" s="71">
        <v>0.35</v>
      </c>
      <c r="B72" s="72">
        <f t="shared" si="19"/>
        <v>0.13999999999999999</v>
      </c>
      <c r="C72" s="72">
        <f t="shared" si="17"/>
        <v>0.35</v>
      </c>
      <c r="D72" s="72">
        <f t="shared" si="17"/>
        <v>1.4</v>
      </c>
      <c r="E72" s="1"/>
      <c r="F72" s="72">
        <f t="shared" si="20"/>
        <v>0.17721518987341769</v>
      </c>
      <c r="G72" s="72">
        <f t="shared" si="18"/>
        <v>0.35</v>
      </c>
      <c r="H72" s="72">
        <f t="shared" si="18"/>
        <v>0.68292682926829273</v>
      </c>
    </row>
    <row r="73" spans="1:8" x14ac:dyDescent="0.3">
      <c r="A73" s="71">
        <v>0.4</v>
      </c>
      <c r="B73" s="72">
        <f t="shared" si="19"/>
        <v>0.16</v>
      </c>
      <c r="C73" s="72">
        <f t="shared" si="17"/>
        <v>0.4</v>
      </c>
      <c r="D73" s="72">
        <f t="shared" si="17"/>
        <v>1.6</v>
      </c>
      <c r="E73" s="1"/>
      <c r="F73" s="72">
        <f t="shared" si="20"/>
        <v>0.2105263157894737</v>
      </c>
      <c r="G73" s="72">
        <f t="shared" si="18"/>
        <v>0.4</v>
      </c>
      <c r="H73" s="72">
        <f t="shared" si="18"/>
        <v>0.72727272727272729</v>
      </c>
    </row>
    <row r="74" spans="1:8" x14ac:dyDescent="0.3">
      <c r="A74" s="71">
        <v>0.45</v>
      </c>
      <c r="B74" s="72">
        <f t="shared" si="19"/>
        <v>0.18</v>
      </c>
      <c r="C74" s="72">
        <f t="shared" si="17"/>
        <v>0.45</v>
      </c>
      <c r="D74" s="72">
        <f t="shared" si="17"/>
        <v>1.8</v>
      </c>
      <c r="E74" s="1"/>
      <c r="F74" s="72">
        <f t="shared" si="20"/>
        <v>0.24657534246575344</v>
      </c>
      <c r="G74" s="72">
        <f t="shared" si="18"/>
        <v>0.45</v>
      </c>
      <c r="H74" s="72">
        <f t="shared" si="18"/>
        <v>0.76595744680851063</v>
      </c>
    </row>
    <row r="75" spans="1:8" x14ac:dyDescent="0.3">
      <c r="A75" s="71">
        <v>0.5</v>
      </c>
      <c r="B75" s="72">
        <f t="shared" si="19"/>
        <v>0.2</v>
      </c>
      <c r="C75" s="72">
        <f t="shared" si="17"/>
        <v>0.5</v>
      </c>
      <c r="D75" s="72">
        <f t="shared" si="17"/>
        <v>2</v>
      </c>
      <c r="E75" s="1"/>
      <c r="F75" s="72">
        <f t="shared" si="20"/>
        <v>0.2857142857142857</v>
      </c>
      <c r="G75" s="72">
        <f t="shared" si="18"/>
        <v>0.5</v>
      </c>
      <c r="H75" s="72">
        <f t="shared" si="18"/>
        <v>0.8</v>
      </c>
    </row>
    <row r="76" spans="1:8" x14ac:dyDescent="0.3">
      <c r="A76" s="71">
        <v>0.55000000000000004</v>
      </c>
      <c r="B76" s="72">
        <f t="shared" si="19"/>
        <v>0.22000000000000003</v>
      </c>
      <c r="C76" s="72">
        <f t="shared" si="17"/>
        <v>0.55000000000000004</v>
      </c>
      <c r="D76" s="72">
        <f t="shared" si="17"/>
        <v>2.2000000000000002</v>
      </c>
      <c r="E76" s="1"/>
      <c r="F76" s="72">
        <f t="shared" si="20"/>
        <v>0.32835820895522388</v>
      </c>
      <c r="G76" s="72">
        <f t="shared" si="18"/>
        <v>0.55000000000000004</v>
      </c>
      <c r="H76" s="72">
        <f t="shared" si="18"/>
        <v>0.83018867924528295</v>
      </c>
    </row>
    <row r="77" spans="1:8" x14ac:dyDescent="0.3">
      <c r="A77" s="71">
        <v>0.6</v>
      </c>
      <c r="B77" s="72">
        <f t="shared" si="19"/>
        <v>0.24</v>
      </c>
      <c r="C77" s="72">
        <f t="shared" si="17"/>
        <v>0.6</v>
      </c>
      <c r="D77" s="72">
        <f t="shared" si="17"/>
        <v>2.4</v>
      </c>
      <c r="E77" s="1"/>
      <c r="F77" s="72">
        <f t="shared" si="20"/>
        <v>0.37499999999999994</v>
      </c>
      <c r="G77" s="72">
        <f t="shared" si="18"/>
        <v>0.6</v>
      </c>
      <c r="H77" s="72">
        <f t="shared" si="18"/>
        <v>0.85714285714285721</v>
      </c>
    </row>
    <row r="78" spans="1:8" x14ac:dyDescent="0.3">
      <c r="A78" s="71">
        <v>0.65</v>
      </c>
      <c r="B78" s="72">
        <f t="shared" si="19"/>
        <v>0.26</v>
      </c>
      <c r="C78" s="72">
        <f t="shared" si="17"/>
        <v>0.65</v>
      </c>
      <c r="D78" s="72">
        <f t="shared" si="17"/>
        <v>2.6</v>
      </c>
      <c r="E78" s="1"/>
      <c r="F78" s="72">
        <f t="shared" si="20"/>
        <v>0.42622950819672134</v>
      </c>
      <c r="G78" s="72">
        <f t="shared" si="18"/>
        <v>0.65</v>
      </c>
      <c r="H78" s="72">
        <f t="shared" si="18"/>
        <v>0.88135593220338981</v>
      </c>
    </row>
    <row r="79" spans="1:8" x14ac:dyDescent="0.3">
      <c r="A79" s="71">
        <v>0.7</v>
      </c>
      <c r="B79" s="72">
        <f t="shared" si="19"/>
        <v>0.27999999999999997</v>
      </c>
      <c r="C79" s="72">
        <f t="shared" si="17"/>
        <v>0.7</v>
      </c>
      <c r="D79" s="72">
        <f t="shared" si="17"/>
        <v>2.8</v>
      </c>
      <c r="E79" s="1"/>
      <c r="F79" s="72">
        <f t="shared" si="20"/>
        <v>0.48275862068965508</v>
      </c>
      <c r="G79" s="72">
        <f t="shared" si="18"/>
        <v>0.7</v>
      </c>
      <c r="H79" s="72">
        <f t="shared" si="18"/>
        <v>0.90322580645161299</v>
      </c>
    </row>
    <row r="80" spans="1:8" x14ac:dyDescent="0.3">
      <c r="A80" s="71">
        <v>0.75</v>
      </c>
      <c r="B80" s="72">
        <f t="shared" si="19"/>
        <v>0.3</v>
      </c>
      <c r="C80" s="72">
        <f t="shared" si="17"/>
        <v>0.75</v>
      </c>
      <c r="D80" s="72">
        <f t="shared" si="17"/>
        <v>3</v>
      </c>
      <c r="E80" s="1"/>
      <c r="F80" s="72">
        <f t="shared" si="20"/>
        <v>0.54545454545454541</v>
      </c>
      <c r="G80" s="72">
        <f t="shared" si="18"/>
        <v>0.75</v>
      </c>
      <c r="H80" s="72">
        <f t="shared" si="18"/>
        <v>0.92307692307692313</v>
      </c>
    </row>
    <row r="81" spans="1:8" x14ac:dyDescent="0.3">
      <c r="A81" s="71">
        <v>0.8</v>
      </c>
      <c r="B81" s="72">
        <f t="shared" si="19"/>
        <v>0.32</v>
      </c>
      <c r="C81" s="72">
        <f t="shared" si="19"/>
        <v>0.8</v>
      </c>
      <c r="D81" s="72">
        <f t="shared" si="19"/>
        <v>3.2</v>
      </c>
      <c r="E81" s="1"/>
      <c r="F81" s="72">
        <f t="shared" si="20"/>
        <v>0.61538461538461553</v>
      </c>
      <c r="G81" s="72">
        <f t="shared" si="20"/>
        <v>0.8</v>
      </c>
      <c r="H81" s="72">
        <f t="shared" si="20"/>
        <v>0.94117647058823528</v>
      </c>
    </row>
    <row r="82" spans="1:8" x14ac:dyDescent="0.3">
      <c r="A82" s="71">
        <v>0.85</v>
      </c>
      <c r="B82" s="72">
        <f t="shared" si="19"/>
        <v>0.33999999999999997</v>
      </c>
      <c r="C82" s="72">
        <f t="shared" si="19"/>
        <v>0.85</v>
      </c>
      <c r="D82" s="72">
        <f t="shared" si="19"/>
        <v>3.4</v>
      </c>
      <c r="E82" s="1"/>
      <c r="F82" s="72">
        <f t="shared" si="20"/>
        <v>0.69387755102040805</v>
      </c>
      <c r="G82" s="72">
        <f t="shared" si="20"/>
        <v>0.85</v>
      </c>
      <c r="H82" s="72">
        <f t="shared" si="20"/>
        <v>0.95774647887323949</v>
      </c>
    </row>
    <row r="83" spans="1:8" x14ac:dyDescent="0.3">
      <c r="A83" s="71">
        <v>0.9</v>
      </c>
      <c r="B83" s="72">
        <f t="shared" si="19"/>
        <v>0.36</v>
      </c>
      <c r="C83" s="72">
        <f t="shared" si="19"/>
        <v>0.9</v>
      </c>
      <c r="D83" s="72">
        <f t="shared" si="19"/>
        <v>3.6</v>
      </c>
      <c r="E83" s="1"/>
      <c r="F83" s="72">
        <f t="shared" si="20"/>
        <v>0.78260869565217395</v>
      </c>
      <c r="G83" s="72">
        <f t="shared" si="20"/>
        <v>0.9</v>
      </c>
      <c r="H83" s="72">
        <f t="shared" si="20"/>
        <v>0.97297297297297292</v>
      </c>
    </row>
    <row r="84" spans="1:8" x14ac:dyDescent="0.3">
      <c r="A84" s="71">
        <v>0.95</v>
      </c>
      <c r="B84" s="72">
        <f t="shared" si="19"/>
        <v>0.38</v>
      </c>
      <c r="C84" s="72">
        <f t="shared" si="19"/>
        <v>0.95</v>
      </c>
      <c r="D84" s="72">
        <f t="shared" si="19"/>
        <v>3.8</v>
      </c>
      <c r="E84" s="1"/>
      <c r="F84" s="72">
        <f t="shared" si="20"/>
        <v>0.88372093023255793</v>
      </c>
      <c r="G84" s="72">
        <f t="shared" si="20"/>
        <v>0.95</v>
      </c>
      <c r="H84" s="72">
        <f t="shared" si="20"/>
        <v>0.98701298701298701</v>
      </c>
    </row>
    <row r="85" spans="1:8" x14ac:dyDescent="0.3">
      <c r="A85" s="71">
        <v>1</v>
      </c>
      <c r="B85" s="72">
        <f t="shared" si="19"/>
        <v>0.4</v>
      </c>
      <c r="C85" s="72">
        <f t="shared" si="19"/>
        <v>1</v>
      </c>
      <c r="D85" s="72">
        <f t="shared" si="19"/>
        <v>4</v>
      </c>
      <c r="E85" s="1"/>
      <c r="F85" s="72">
        <f t="shared" si="20"/>
        <v>1</v>
      </c>
      <c r="G85" s="72">
        <f t="shared" si="20"/>
        <v>1</v>
      </c>
      <c r="H85" s="72">
        <f t="shared" si="20"/>
        <v>1</v>
      </c>
    </row>
  </sheetData>
  <mergeCells count="2">
    <mergeCell ref="F3:G3"/>
    <mergeCell ref="O3:P3"/>
  </mergeCells>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Content</vt:lpstr>
      <vt:lpstr>Conversion</vt:lpstr>
      <vt:lpstr>Calibration</vt:lpstr>
      <vt:lpstr>Soil Density Correction</vt:lpstr>
      <vt:lpstr>Tools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dc:creator>
  <cp:lastModifiedBy>Jan Zepp</cp:lastModifiedBy>
  <cp:lastPrinted>2026-01-24T11:26:39Z</cp:lastPrinted>
  <dcterms:created xsi:type="dcterms:W3CDTF">2026-01-24T11:23:46Z</dcterms:created>
  <dcterms:modified xsi:type="dcterms:W3CDTF">2026-04-07T08:57:01Z</dcterms:modified>
</cp:coreProperties>
</file>