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166925"/>
  <mc:AlternateContent xmlns:mc="http://schemas.openxmlformats.org/markup-compatibility/2006">
    <mc:Choice Requires="x15">
      <x15ac:absPath xmlns:x15ac="http://schemas.microsoft.com/office/spreadsheetml/2010/11/ac" url="C:\Users\jz\Desktop\IMKO\20_Technischer Support\Toolbox\"/>
    </mc:Choice>
  </mc:AlternateContent>
  <xr:revisionPtr revIDLastSave="0" documentId="13_ncr:1_{EB36C807-49E6-40F1-8ABF-2EAB95848F93}" xr6:coauthVersionLast="47" xr6:coauthVersionMax="47" xr10:uidLastSave="{00000000-0000-0000-0000-000000000000}"/>
  <workbookProtection workbookAlgorithmName="SHA-512" workbookHashValue="rwlRoIgLEZ0JViSjrx+5xrBEL+yEg2HGBRiKaYeI7he8lk/W/I+xQZiPA5vi0WKOEWG91M61zmFFDj7tqDb91w==" workbookSaltValue="zMfxOI6VTjMF9JCpISFhAQ==" workbookSpinCount="100000" lockStructure="1"/>
  <bookViews>
    <workbookView xWindow="-120" yWindow="-120" windowWidth="29040" windowHeight="15720" tabRatio="729" xr2:uid="{B0EBA432-DBA5-4DC2-996D-533FB8A8B293}"/>
    <workbookView xWindow="-120" yWindow="-120" windowWidth="29040" windowHeight="15720" xr2:uid="{6960DD65-9FF7-4886-ACF2-8CB54CBAC52D}"/>
  </bookViews>
  <sheets>
    <sheet name="Content" sheetId="7" r:id="rId1"/>
    <sheet name="Conversion" sheetId="14" r:id="rId2"/>
    <sheet name="Calibration" sheetId="1" r:id="rId3"/>
    <sheet name="Soil Density Correction" sheetId="12" r:id="rId4"/>
    <sheet name="Transform Material Calibration" sheetId="13" r:id="rId5"/>
    <sheet name="Tools" sheetId="2" state="hidden" r:id="rId6"/>
  </sheets>
  <definedNames>
    <definedName name="Calibration_x">INDEX(_xlfn.ANCHORARRAY(Tools!$F$90), , 1)</definedName>
    <definedName name="Calibration_y">INDEX(_xlfn.ANCHORARRAY(Tools!$F$90), , 2)</definedName>
    <definedName name="DataTransform_Input">INDEX(_xlfn.ANCHORARRAY(Tools!$D$350), , 1)</definedName>
    <definedName name="DataTransform_Output">INDEX(_xlfn.ANCHORARRAY(Tools!$E$350), , 1)</definedName>
    <definedName name="DataTransform_TP">INDEX(_xlfn.ANCHORARRAY(Tools!$B$350), , 1)</definedName>
    <definedName name="Newton">_xlfn.LAMBDA(_xlpm.y,_xlpm.x0,_xlfn.LET(_xlpm.f,_xlfn.LAMBDA(_xlpm.x,#REF!+#REF!*_xlpm.x+#REF!*_xlpm.x^2+#REF!*_xlpm.x^3+#REF!*_xlpm.x^4 +#REF!*_xlpm.x^5-_xlpm.y),_xlpm.df,_xlfn.LAMBDA(_xlpm.x,#REF!+2*#REF!*_xlpm.x+3*#REF!*_xlpm.x^2+4*#REF!*_xlpm.x^3+5*#REF!*_xlpm.x^4),_xlpm.iter,_xlfn.SCAN(_xlpm.x0,_xlfn.SEQUENCE(1000),_xlfn.LAMBDA(_xlpm.x,_xlpm._,_xlfn.LET(_xlpm.xn,_xlpm.x-_xlpm.f(_xlpm.x)/_xlpm.df(_xlpm.x),IF(ABS(_xlpm.xn-_xlpm.x)&lt;0.0000000000001,_xlpm.x,_xlpm.xn)))),INDEX(_xlpm.iter,ROWS(_xlpm.iter))))</definedName>
    <definedName name="NewtonX">_xlfn.LAMBDA(_xlpm.y,_xlpm.x0,_xlfn.LET(_xlpm.f, _xlfn.LAMBDA(_xlpm.x,#REF!+#REF!*_xlpm.x+#REF!*_xlpm.x^2+#REF!*_xlpm.x^3+#REF!*_xlpm.x^4 +#REF!*_xlpm.x^5-_xlpm.y),_xlpm.df,_xlfn.LAMBDA(_xlpm.x,#REF!+2*#REF!*_xlpm.x+3*#REF!*_xlpm.x^2+4*#REF!*_xlpm.x^3+5*#REF!*_xlpm.x^4),_xlfn.REDUCE(_xlpm.x0,_xlfn.SEQUENCE(5000),_xlfn.LAMBDA(_xlpm.x,_xlpm._,_xlpm.x-_xlpm.f(_xlpm.x)/_xlpm.df(_xlpm.x)))))</definedName>
    <definedName name="PICO_64">#REF!</definedName>
    <definedName name="Regression_x">INDEX(_xlfn.ANCHORARRAY(Tools!#REF!), , 1)</definedName>
    <definedName name="Regression_y">INDEX(_xlfn.ANCHORARRAY(Tools!#REF!), , 2)</definedName>
    <definedName name="SONO_VARI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1" i="2" l="1"/>
  <c r="F194" i="2"/>
  <c r="G194" i="2" s="1"/>
  <c r="F195" i="2"/>
  <c r="G195" i="2" s="1"/>
  <c r="F196" i="2"/>
  <c r="G196" i="2" s="1"/>
  <c r="F197" i="2"/>
  <c r="G197" i="2" s="1"/>
  <c r="F198" i="2"/>
  <c r="G198" i="2" s="1"/>
  <c r="F199" i="2"/>
  <c r="G199" i="2" s="1"/>
  <c r="F200" i="2"/>
  <c r="G200" i="2" s="1"/>
  <c r="F201" i="2"/>
  <c r="G201" i="2" s="1"/>
  <c r="F202" i="2"/>
  <c r="G202" i="2" s="1"/>
  <c r="F203" i="2"/>
  <c r="G203" i="2" s="1"/>
  <c r="F204" i="2"/>
  <c r="G204" i="2" s="1"/>
  <c r="F205" i="2"/>
  <c r="G205" i="2" s="1"/>
  <c r="D219" i="2"/>
  <c r="D218" i="2"/>
  <c r="C219" i="2"/>
  <c r="C218" i="2"/>
  <c r="B224" i="2"/>
  <c r="B223" i="2"/>
  <c r="D223" i="2" l="1"/>
  <c r="D224" i="2"/>
  <c r="C224" i="2"/>
  <c r="C223" i="2"/>
  <c r="C567" i="2" l="1"/>
  <c r="C433" i="2" a="1"/>
  <c r="C433" i="2" s="1"/>
  <c r="B433" i="2" s="1"/>
  <c r="C435" i="2" a="1"/>
  <c r="C435" i="2" s="1"/>
  <c r="B435" i="2" s="1"/>
  <c r="C441" i="2" a="1"/>
  <c r="C441" i="2" s="1"/>
  <c r="B441" i="2" s="1"/>
  <c r="C442" i="2" a="1"/>
  <c r="C442" i="2" s="1"/>
  <c r="B442" i="2" s="1"/>
  <c r="C443" i="2" a="1"/>
  <c r="C443" i="2" s="1"/>
  <c r="B443" i="2" s="1"/>
  <c r="C444" i="2" a="1"/>
  <c r="C444" i="2" s="1"/>
  <c r="B444" i="2" s="1"/>
  <c r="C445" i="2" a="1"/>
  <c r="C445" i="2" s="1"/>
  <c r="B445" i="2" s="1"/>
  <c r="C446" i="2" a="1"/>
  <c r="C446" i="2" s="1"/>
  <c r="B446" i="2" s="1"/>
  <c r="C447" i="2" a="1"/>
  <c r="C447" i="2" s="1"/>
  <c r="B447" i="2" s="1"/>
  <c r="C448" i="2" a="1"/>
  <c r="C448" i="2" s="1"/>
  <c r="B448" i="2" s="1"/>
  <c r="C449" i="2" a="1"/>
  <c r="C449" i="2" s="1"/>
  <c r="B449" i="2" s="1"/>
  <c r="D426" i="2"/>
  <c r="G426" i="2" s="1"/>
  <c r="D427" i="2"/>
  <c r="G427" i="2" s="1"/>
  <c r="D428" i="2"/>
  <c r="G428" i="2" s="1"/>
  <c r="D429" i="2"/>
  <c r="G429" i="2" s="1"/>
  <c r="D430" i="2"/>
  <c r="G430" i="2" s="1"/>
  <c r="D431" i="2"/>
  <c r="G431" i="2" s="1"/>
  <c r="D432" i="2"/>
  <c r="G432" i="2" s="1"/>
  <c r="D433" i="2"/>
  <c r="G433" i="2" s="1"/>
  <c r="D434" i="2"/>
  <c r="G434" i="2" s="1"/>
  <c r="D435" i="2"/>
  <c r="G435" i="2" s="1"/>
  <c r="D436" i="2"/>
  <c r="G436" i="2" s="1"/>
  <c r="D437" i="2"/>
  <c r="G437" i="2" s="1"/>
  <c r="D438" i="2"/>
  <c r="G438" i="2" s="1"/>
  <c r="D439" i="2"/>
  <c r="G439" i="2" s="1"/>
  <c r="D440" i="2"/>
  <c r="G440" i="2" s="1"/>
  <c r="D441" i="2"/>
  <c r="G441" i="2" s="1"/>
  <c r="D442" i="2"/>
  <c r="G442" i="2" s="1"/>
  <c r="D443" i="2"/>
  <c r="G443" i="2" s="1"/>
  <c r="D444" i="2"/>
  <c r="G444" i="2" s="1"/>
  <c r="D445" i="2"/>
  <c r="G445" i="2" s="1"/>
  <c r="D446" i="2"/>
  <c r="G446" i="2" s="1"/>
  <c r="D447" i="2"/>
  <c r="G447" i="2" s="1"/>
  <c r="D448" i="2"/>
  <c r="G448" i="2" s="1"/>
  <c r="D449" i="2"/>
  <c r="G449" i="2" s="1"/>
  <c r="H322" i="2"/>
  <c r="I322" i="2"/>
  <c r="L322" i="2" s="1"/>
  <c r="H323" i="2"/>
  <c r="I323" i="2"/>
  <c r="M323" i="2" s="1"/>
  <c r="H324" i="2"/>
  <c r="I324" i="2"/>
  <c r="L324" i="2" s="1"/>
  <c r="H325" i="2"/>
  <c r="I325" i="2"/>
  <c r="L325" i="2" s="1"/>
  <c r="H326" i="2"/>
  <c r="I326" i="2"/>
  <c r="M326" i="2" s="1"/>
  <c r="H327" i="2"/>
  <c r="I327" i="2"/>
  <c r="Q327" i="2" s="1"/>
  <c r="H328" i="2"/>
  <c r="I328" i="2"/>
  <c r="K328" i="2" s="1"/>
  <c r="H329" i="2"/>
  <c r="I329" i="2"/>
  <c r="M329" i="2" s="1"/>
  <c r="H330" i="2"/>
  <c r="I330" i="2"/>
  <c r="L330" i="2" s="1"/>
  <c r="H331" i="2"/>
  <c r="I331" i="2"/>
  <c r="L331" i="2" s="1"/>
  <c r="H332" i="2"/>
  <c r="I332" i="2"/>
  <c r="L332" i="2" s="1"/>
  <c r="H333" i="2"/>
  <c r="I333" i="2"/>
  <c r="L333" i="2" s="1"/>
  <c r="H334" i="2"/>
  <c r="I334" i="2"/>
  <c r="M334" i="2" s="1"/>
  <c r="H335" i="2"/>
  <c r="I335" i="2"/>
  <c r="L335" i="2" s="1"/>
  <c r="H336" i="2"/>
  <c r="I336" i="2"/>
  <c r="L336" i="2" s="1"/>
  <c r="H337" i="2"/>
  <c r="I337" i="2"/>
  <c r="L337" i="2" s="1"/>
  <c r="H338" i="2"/>
  <c r="I338" i="2"/>
  <c r="M338" i="2" s="1"/>
  <c r="H339" i="2"/>
  <c r="I339" i="2"/>
  <c r="M339" i="2" s="1"/>
  <c r="H340" i="2"/>
  <c r="I340" i="2"/>
  <c r="L340" i="2" s="1"/>
  <c r="H341" i="2"/>
  <c r="I341" i="2"/>
  <c r="L341" i="2" s="1"/>
  <c r="H342" i="2"/>
  <c r="I342" i="2"/>
  <c r="L342" i="2" s="1"/>
  <c r="H343" i="2"/>
  <c r="I343" i="2"/>
  <c r="L343" i="2" s="1"/>
  <c r="H344" i="2"/>
  <c r="I344" i="2"/>
  <c r="L344" i="2" s="1"/>
  <c r="H345" i="2"/>
  <c r="I345" i="2"/>
  <c r="M345" i="2" s="1"/>
  <c r="H346" i="2"/>
  <c r="I346" i="2"/>
  <c r="L346" i="2" s="1"/>
  <c r="E241" i="2"/>
  <c r="C24" i="13"/>
  <c r="C237" i="2" s="1"/>
  <c r="D94" i="2"/>
  <c r="D95" i="2"/>
  <c r="D96" i="2"/>
  <c r="D97" i="2"/>
  <c r="D98" i="2"/>
  <c r="D99" i="2"/>
  <c r="D100" i="2"/>
  <c r="D101" i="2"/>
  <c r="D102" i="2"/>
  <c r="D103" i="2"/>
  <c r="D104" i="2"/>
  <c r="D105" i="2"/>
  <c r="G235" i="2"/>
  <c r="F235" i="2"/>
  <c r="E235" i="2"/>
  <c r="D235" i="2"/>
  <c r="C235" i="2"/>
  <c r="B235" i="2"/>
  <c r="C239" i="2"/>
  <c r="E239" i="2" s="1"/>
  <c r="C238" i="2"/>
  <c r="C12" i="2"/>
  <c r="E12" i="2" s="1"/>
  <c r="C11" i="2"/>
  <c r="E11" i="2" s="1"/>
  <c r="B10" i="14"/>
  <c r="C9" i="2"/>
  <c r="F20" i="2" s="1"/>
  <c r="C38" i="2" s="1"/>
  <c r="E449" i="2" l="1"/>
  <c r="K449" i="2"/>
  <c r="E552" i="2" s="1"/>
  <c r="E448" i="2"/>
  <c r="E445" i="2"/>
  <c r="K445" i="2"/>
  <c r="C548" i="2" s="1"/>
  <c r="E435" i="2"/>
  <c r="E447" i="2"/>
  <c r="E446" i="2"/>
  <c r="E444" i="2"/>
  <c r="K444" i="2"/>
  <c r="E547" i="2" s="1"/>
  <c r="E441" i="2"/>
  <c r="K441" i="2"/>
  <c r="D544" i="2" s="1"/>
  <c r="E443" i="2"/>
  <c r="K443" i="2"/>
  <c r="D546" i="2" s="1"/>
  <c r="E442" i="2"/>
  <c r="E433" i="2"/>
  <c r="G548" i="2"/>
  <c r="C552" i="2"/>
  <c r="G547" i="2"/>
  <c r="D552" i="2"/>
  <c r="X346" i="2"/>
  <c r="W346" i="2"/>
  <c r="V346" i="2"/>
  <c r="U346" i="2"/>
  <c r="T346" i="2"/>
  <c r="O346" i="2"/>
  <c r="N346" i="2"/>
  <c r="P342" i="2"/>
  <c r="O342" i="2"/>
  <c r="N342" i="2"/>
  <c r="X341" i="2"/>
  <c r="V341" i="2"/>
  <c r="J341" i="2"/>
  <c r="V337" i="2"/>
  <c r="Q342" i="2"/>
  <c r="J346" i="2"/>
  <c r="U337" i="2"/>
  <c r="T337" i="2"/>
  <c r="J329" i="2"/>
  <c r="W331" i="2"/>
  <c r="W337" i="2"/>
  <c r="J330" i="2"/>
  <c r="K324" i="2"/>
  <c r="O331" i="2"/>
  <c r="S341" i="2"/>
  <c r="R341" i="2"/>
  <c r="J340" i="2"/>
  <c r="Y346" i="2"/>
  <c r="Y330" i="2"/>
  <c r="R342" i="2"/>
  <c r="N340" i="2"/>
  <c r="N331" i="2"/>
  <c r="K342" i="2"/>
  <c r="R344" i="2"/>
  <c r="Q341" i="2"/>
  <c r="X330" i="2"/>
  <c r="Y344" i="2"/>
  <c r="X344" i="2"/>
  <c r="W344" i="2"/>
  <c r="K341" i="2"/>
  <c r="R330" i="2"/>
  <c r="Y342" i="2"/>
  <c r="U340" i="2"/>
  <c r="P330" i="2"/>
  <c r="O345" i="2"/>
  <c r="U344" i="2"/>
  <c r="W330" i="2"/>
  <c r="K340" i="2"/>
  <c r="X343" i="2"/>
  <c r="U330" i="2"/>
  <c r="C434" i="2" s="1" a="1"/>
  <c r="C434" i="2" s="1"/>
  <c r="B434" i="2" s="1"/>
  <c r="P343" i="2"/>
  <c r="X340" i="2"/>
  <c r="Q330" i="2"/>
  <c r="X342" i="2"/>
  <c r="T340" i="2"/>
  <c r="V329" i="2"/>
  <c r="W342" i="2"/>
  <c r="U329" i="2"/>
  <c r="S346" i="2"/>
  <c r="V342" i="2"/>
  <c r="R340" i="2"/>
  <c r="T329" i="2"/>
  <c r="V344" i="2"/>
  <c r="K343" i="2"/>
  <c r="P344" i="2"/>
  <c r="V330" i="2"/>
  <c r="Q343" i="2"/>
  <c r="T330" i="2"/>
  <c r="V340" i="2"/>
  <c r="R346" i="2"/>
  <c r="T342" i="2"/>
  <c r="Q340" i="2"/>
  <c r="Q329" i="2"/>
  <c r="N345" i="2"/>
  <c r="K345" i="2"/>
  <c r="P341" i="2"/>
  <c r="O341" i="2"/>
  <c r="N341" i="2"/>
  <c r="Y340" i="2"/>
  <c r="O343" i="2"/>
  <c r="N343" i="2"/>
  <c r="S340" i="2"/>
  <c r="P346" i="2"/>
  <c r="S342" i="2"/>
  <c r="P340" i="2"/>
  <c r="O329" i="2"/>
  <c r="Q339" i="2"/>
  <c r="P339" i="2"/>
  <c r="J322" i="2"/>
  <c r="T344" i="2"/>
  <c r="N339" i="2"/>
  <c r="P337" i="2"/>
  <c r="K346" i="2"/>
  <c r="Q346" i="2"/>
  <c r="S344" i="2"/>
  <c r="U342" i="2"/>
  <c r="W340" i="2"/>
  <c r="Y338" i="2"/>
  <c r="O337" i="2"/>
  <c r="S330" i="2"/>
  <c r="U339" i="2"/>
  <c r="J338" i="2"/>
  <c r="J337" i="2"/>
  <c r="S337" i="2"/>
  <c r="K344" i="2"/>
  <c r="Q344" i="2"/>
  <c r="W338" i="2"/>
  <c r="V334" i="2"/>
  <c r="N337" i="2"/>
  <c r="T339" i="2"/>
  <c r="J339" i="2"/>
  <c r="R339" i="2"/>
  <c r="Y345" i="2"/>
  <c r="T334" i="2"/>
  <c r="N344" i="2"/>
  <c r="W345" i="2"/>
  <c r="Y343" i="2"/>
  <c r="S338" i="2"/>
  <c r="R334" i="2"/>
  <c r="S339" i="2"/>
  <c r="U334" i="2"/>
  <c r="C438" i="2" s="1" a="1"/>
  <c r="C438" i="2" s="1"/>
  <c r="B438" i="2" s="1"/>
  <c r="X345" i="2"/>
  <c r="K339" i="2"/>
  <c r="V345" i="2"/>
  <c r="R338" i="2"/>
  <c r="Q334" i="2"/>
  <c r="K338" i="2"/>
  <c r="U345" i="2"/>
  <c r="W343" i="2"/>
  <c r="Y341" i="2"/>
  <c r="O340" i="2"/>
  <c r="Q338" i="2"/>
  <c r="Y332" i="2"/>
  <c r="P329" i="2"/>
  <c r="Q337" i="2"/>
  <c r="U338" i="2"/>
  <c r="K337" i="2"/>
  <c r="T345" i="2"/>
  <c r="V343" i="2"/>
  <c r="P338" i="2"/>
  <c r="O332" i="2"/>
  <c r="J345" i="2"/>
  <c r="S345" i="2"/>
  <c r="U343" i="2"/>
  <c r="W341" i="2"/>
  <c r="Y339" i="2"/>
  <c r="O338" i="2"/>
  <c r="X331" i="2"/>
  <c r="N329" i="2"/>
  <c r="S327" i="2"/>
  <c r="R337" i="2"/>
  <c r="O339" i="2"/>
  <c r="O344" i="2"/>
  <c r="T338" i="2"/>
  <c r="J344" i="2"/>
  <c r="T343" i="2"/>
  <c r="J343" i="2"/>
  <c r="K323" i="2"/>
  <c r="Q345" i="2"/>
  <c r="S343" i="2"/>
  <c r="U341" i="2"/>
  <c r="W339" i="2"/>
  <c r="Y337" i="2"/>
  <c r="V331" i="2"/>
  <c r="R327" i="2"/>
  <c r="X338" i="2"/>
  <c r="V338" i="2"/>
  <c r="S334" i="2"/>
  <c r="R345" i="2"/>
  <c r="X339" i="2"/>
  <c r="N338" i="2"/>
  <c r="J342" i="2"/>
  <c r="K322" i="2"/>
  <c r="P345" i="2"/>
  <c r="R343" i="2"/>
  <c r="T341" i="2"/>
  <c r="V339" i="2"/>
  <c r="X337" i="2"/>
  <c r="U331" i="2"/>
  <c r="J324" i="2"/>
  <c r="O334" i="2"/>
  <c r="U325" i="2"/>
  <c r="C429" i="2" s="1" a="1"/>
  <c r="C429" i="2" s="1"/>
  <c r="B429" i="2" s="1"/>
  <c r="T325" i="2"/>
  <c r="S325" i="2"/>
  <c r="X332" i="2"/>
  <c r="R325" i="2"/>
  <c r="W332" i="2"/>
  <c r="Y324" i="2"/>
  <c r="V332" i="2"/>
  <c r="W323" i="2"/>
  <c r="U336" i="2"/>
  <c r="C440" i="2" s="1" a="1"/>
  <c r="C440" i="2" s="1"/>
  <c r="B440" i="2" s="1"/>
  <c r="U332" i="2"/>
  <c r="C436" i="2" s="1" a="1"/>
  <c r="C436" i="2" s="1"/>
  <c r="B436" i="2" s="1"/>
  <c r="V323" i="2"/>
  <c r="T336" i="2"/>
  <c r="T332" i="2"/>
  <c r="O330" i="2"/>
  <c r="U323" i="2"/>
  <c r="C427" i="2" s="1" a="1"/>
  <c r="C427" i="2" s="1"/>
  <c r="B427" i="2" s="1"/>
  <c r="S336" i="2"/>
  <c r="S332" i="2"/>
  <c r="N330" i="2"/>
  <c r="T323" i="2"/>
  <c r="R336" i="2"/>
  <c r="R332" i="2"/>
  <c r="Y329" i="2"/>
  <c r="S323" i="2"/>
  <c r="Q336" i="2"/>
  <c r="Q332" i="2"/>
  <c r="X329" i="2"/>
  <c r="R323" i="2"/>
  <c r="K329" i="2"/>
  <c r="P336" i="2"/>
  <c r="P332" i="2"/>
  <c r="W329" i="2"/>
  <c r="Q323" i="2"/>
  <c r="J326" i="2"/>
  <c r="J325" i="2"/>
  <c r="J323" i="2"/>
  <c r="P334" i="2"/>
  <c r="N334" i="2"/>
  <c r="O336" i="2"/>
  <c r="P323" i="2"/>
  <c r="K326" i="2"/>
  <c r="Y335" i="2"/>
  <c r="O323" i="2"/>
  <c r="K325" i="2"/>
  <c r="W334" i="2"/>
  <c r="N323" i="2"/>
  <c r="M328" i="2"/>
  <c r="N328" i="2"/>
  <c r="O328" i="2"/>
  <c r="P328" i="2"/>
  <c r="V328" i="2"/>
  <c r="X328" i="2"/>
  <c r="J328" i="2"/>
  <c r="Q328" i="2"/>
  <c r="R328" i="2"/>
  <c r="T328" i="2"/>
  <c r="U328" i="2"/>
  <c r="C432" i="2" s="1" a="1"/>
  <c r="C432" i="2" s="1"/>
  <c r="B432" i="2" s="1"/>
  <c r="W328" i="2"/>
  <c r="S328" i="2"/>
  <c r="Y328" i="2"/>
  <c r="L327" i="2"/>
  <c r="T327" i="2"/>
  <c r="J327" i="2"/>
  <c r="W327" i="2"/>
  <c r="X327" i="2"/>
  <c r="Y327" i="2"/>
  <c r="O327" i="2"/>
  <c r="P327" i="2"/>
  <c r="U327" i="2"/>
  <c r="C431" i="2" s="1" a="1"/>
  <c r="C431" i="2" s="1"/>
  <c r="B431" i="2" s="1"/>
  <c r="V327" i="2"/>
  <c r="N327" i="2"/>
  <c r="K327" i="2"/>
  <c r="P325" i="2"/>
  <c r="Y326" i="2"/>
  <c r="X335" i="2"/>
  <c r="X324" i="2"/>
  <c r="W335" i="2"/>
  <c r="Y333" i="2"/>
  <c r="U326" i="2"/>
  <c r="C430" i="2" s="1" a="1"/>
  <c r="C430" i="2" s="1"/>
  <c r="B430" i="2" s="1"/>
  <c r="W324" i="2"/>
  <c r="Y322" i="2"/>
  <c r="X326" i="2"/>
  <c r="W326" i="2"/>
  <c r="V326" i="2"/>
  <c r="V335" i="2"/>
  <c r="X333" i="2"/>
  <c r="N332" i="2"/>
  <c r="T326" i="2"/>
  <c r="V324" i="2"/>
  <c r="X322" i="2"/>
  <c r="J336" i="2"/>
  <c r="U335" i="2"/>
  <c r="C439" i="2" s="1" a="1"/>
  <c r="C439" i="2" s="1"/>
  <c r="B439" i="2" s="1"/>
  <c r="W333" i="2"/>
  <c r="Y331" i="2"/>
  <c r="S326" i="2"/>
  <c r="U324" i="2"/>
  <c r="C428" i="2" s="1" a="1"/>
  <c r="C428" i="2" s="1"/>
  <c r="B428" i="2" s="1"/>
  <c r="W322" i="2"/>
  <c r="O325" i="2"/>
  <c r="N324" i="2"/>
  <c r="P322" i="2"/>
  <c r="K331" i="2"/>
  <c r="W336" i="2"/>
  <c r="Y334" i="2"/>
  <c r="O333" i="2"/>
  <c r="Q331" i="2"/>
  <c r="S329" i="2"/>
  <c r="W325" i="2"/>
  <c r="Y323" i="2"/>
  <c r="O322" i="2"/>
  <c r="Q325" i="2"/>
  <c r="N336" i="2"/>
  <c r="N325" i="2"/>
  <c r="J335" i="2"/>
  <c r="T335" i="2"/>
  <c r="V333" i="2"/>
  <c r="R326" i="2"/>
  <c r="T324" i="2"/>
  <c r="V322" i="2"/>
  <c r="J334" i="2"/>
  <c r="S335" i="2"/>
  <c r="U333" i="2"/>
  <c r="C437" i="2" s="1" a="1"/>
  <c r="C437" i="2" s="1"/>
  <c r="B437" i="2" s="1"/>
  <c r="Q326" i="2"/>
  <c r="S324" i="2"/>
  <c r="U322" i="2"/>
  <c r="C426" i="2" s="1" a="1"/>
  <c r="C426" i="2" s="1"/>
  <c r="B426" i="2" s="1"/>
  <c r="J333" i="2"/>
  <c r="K336" i="2"/>
  <c r="R335" i="2"/>
  <c r="T333" i="2"/>
  <c r="P326" i="2"/>
  <c r="R324" i="2"/>
  <c r="T322" i="2"/>
  <c r="J332" i="2"/>
  <c r="K335" i="2"/>
  <c r="Q335" i="2"/>
  <c r="S333" i="2"/>
  <c r="O326" i="2"/>
  <c r="Q324" i="2"/>
  <c r="S322" i="2"/>
  <c r="J331" i="2"/>
  <c r="K334" i="2"/>
  <c r="P335" i="2"/>
  <c r="R333" i="2"/>
  <c r="T331" i="2"/>
  <c r="N326" i="2"/>
  <c r="P324" i="2"/>
  <c r="R322" i="2"/>
  <c r="K333" i="2"/>
  <c r="Y336" i="2"/>
  <c r="O335" i="2"/>
  <c r="Q333" i="2"/>
  <c r="S331" i="2"/>
  <c r="Y325" i="2"/>
  <c r="O324" i="2"/>
  <c r="Q322" i="2"/>
  <c r="K332" i="2"/>
  <c r="X336" i="2"/>
  <c r="N335" i="2"/>
  <c r="P333" i="2"/>
  <c r="R331" i="2"/>
  <c r="X325" i="2"/>
  <c r="K330" i="2"/>
  <c r="V336" i="2"/>
  <c r="X334" i="2"/>
  <c r="N333" i="2"/>
  <c r="P331" i="2"/>
  <c r="R329" i="2"/>
  <c r="V325" i="2"/>
  <c r="X323" i="2"/>
  <c r="N322" i="2"/>
  <c r="H552" i="2"/>
  <c r="H549" i="2"/>
  <c r="H548" i="2"/>
  <c r="C568" i="2"/>
  <c r="H538" i="2"/>
  <c r="H550" i="2"/>
  <c r="F449" i="2"/>
  <c r="H449" i="2" s="1"/>
  <c r="F445" i="2"/>
  <c r="H445" i="2" s="1"/>
  <c r="F441" i="2"/>
  <c r="H441" i="2" s="1"/>
  <c r="H544" i="2"/>
  <c r="H551" i="2"/>
  <c r="C283" i="2"/>
  <c r="C279" i="2"/>
  <c r="C278" i="2"/>
  <c r="L345" i="2"/>
  <c r="L334" i="2"/>
  <c r="C280" i="2"/>
  <c r="C346" i="2"/>
  <c r="C345" i="2"/>
  <c r="C344" i="2"/>
  <c r="C325" i="2"/>
  <c r="C324" i="2"/>
  <c r="C323" i="2"/>
  <c r="C322" i="2"/>
  <c r="L323" i="2"/>
  <c r="C303" i="2"/>
  <c r="C302" i="2"/>
  <c r="C247" i="2"/>
  <c r="C300" i="2"/>
  <c r="C301" i="2"/>
  <c r="C281" i="2"/>
  <c r="M332" i="2"/>
  <c r="C277" i="2"/>
  <c r="C276" i="2"/>
  <c r="M342" i="2"/>
  <c r="C341" i="2"/>
  <c r="M330" i="2"/>
  <c r="C339" i="2"/>
  <c r="C338" i="2"/>
  <c r="C315" i="2"/>
  <c r="L329" i="2"/>
  <c r="C314" i="2"/>
  <c r="C257" i="2"/>
  <c r="C268" i="2"/>
  <c r="C333" i="2"/>
  <c r="C248" i="2"/>
  <c r="C326" i="2"/>
  <c r="C304" i="2"/>
  <c r="C282" i="2"/>
  <c r="M333" i="2"/>
  <c r="M343" i="2"/>
  <c r="C265" i="2"/>
  <c r="C298" i="2"/>
  <c r="M331" i="2"/>
  <c r="C319" i="2"/>
  <c r="C340" i="2"/>
  <c r="C295" i="2"/>
  <c r="C316" i="2"/>
  <c r="M340" i="2"/>
  <c r="C337" i="2"/>
  <c r="C292" i="2"/>
  <c r="C313" i="2"/>
  <c r="L328" i="2"/>
  <c r="C312" i="2"/>
  <c r="C289" i="2"/>
  <c r="C310" i="2"/>
  <c r="M337" i="2"/>
  <c r="C253" i="2"/>
  <c r="M336" i="2"/>
  <c r="M325" i="2"/>
  <c r="C299" i="2"/>
  <c r="C264" i="2"/>
  <c r="C263" i="2"/>
  <c r="C318" i="2"/>
  <c r="C261" i="2"/>
  <c r="C272" i="2"/>
  <c r="C270" i="2"/>
  <c r="C269" i="2"/>
  <c r="L339" i="2"/>
  <c r="C256" i="2"/>
  <c r="C252" i="2"/>
  <c r="C330" i="2"/>
  <c r="C308" i="2"/>
  <c r="C251" i="2"/>
  <c r="C329" i="2"/>
  <c r="C307" i="2"/>
  <c r="C285" i="2"/>
  <c r="M344" i="2"/>
  <c r="M322" i="2"/>
  <c r="C343" i="2"/>
  <c r="C320" i="2"/>
  <c r="C275" i="2"/>
  <c r="C262" i="2"/>
  <c r="C296" i="2"/>
  <c r="M341" i="2"/>
  <c r="C317" i="2"/>
  <c r="C260" i="2"/>
  <c r="C259" i="2"/>
  <c r="C271" i="2"/>
  <c r="C336" i="2"/>
  <c r="C291" i="2"/>
  <c r="C290" i="2"/>
  <c r="M327" i="2"/>
  <c r="C267" i="2"/>
  <c r="L338" i="2"/>
  <c r="C254" i="2"/>
  <c r="C266" i="2"/>
  <c r="C309" i="2"/>
  <c r="L326" i="2"/>
  <c r="C250" i="2"/>
  <c r="C328" i="2"/>
  <c r="C306" i="2"/>
  <c r="C284" i="2"/>
  <c r="M346" i="2"/>
  <c r="M335" i="2"/>
  <c r="M324" i="2"/>
  <c r="C321" i="2"/>
  <c r="C342" i="2"/>
  <c r="C297" i="2"/>
  <c r="C274" i="2"/>
  <c r="C273" i="2"/>
  <c r="C294" i="2"/>
  <c r="C293" i="2"/>
  <c r="C258" i="2"/>
  <c r="C335" i="2"/>
  <c r="C334" i="2"/>
  <c r="C255" i="2"/>
  <c r="C311" i="2"/>
  <c r="C332" i="2"/>
  <c r="C288" i="2"/>
  <c r="C331" i="2"/>
  <c r="C287" i="2"/>
  <c r="C286" i="2"/>
  <c r="C249" i="2"/>
  <c r="C327" i="2"/>
  <c r="C305" i="2"/>
  <c r="E238" i="2"/>
  <c r="E240" i="2" s="1"/>
  <c r="C246" i="2"/>
  <c r="E13" i="2"/>
  <c r="D17" i="2"/>
  <c r="C24" i="2" s="1"/>
  <c r="F19" i="2"/>
  <c r="C34" i="2" s="1"/>
  <c r="C18" i="2"/>
  <c r="C27" i="2" s="1"/>
  <c r="E20" i="2"/>
  <c r="C37" i="2" s="1"/>
  <c r="C17" i="2"/>
  <c r="C23" i="2" s="1"/>
  <c r="D18" i="2"/>
  <c r="C28" i="2" s="1"/>
  <c r="E19" i="2"/>
  <c r="C33" i="2" s="1"/>
  <c r="F547" i="2" l="1"/>
  <c r="D547" i="2"/>
  <c r="D548" i="2"/>
  <c r="E548" i="2"/>
  <c r="C547" i="2"/>
  <c r="G552" i="2"/>
  <c r="E546" i="2"/>
  <c r="F552" i="2"/>
  <c r="F548" i="2"/>
  <c r="C544" i="2"/>
  <c r="K442" i="2"/>
  <c r="F442" i="2"/>
  <c r="H442" i="2" s="1"/>
  <c r="I442" i="2" s="1"/>
  <c r="H545" i="2"/>
  <c r="K433" i="2"/>
  <c r="H536" i="2"/>
  <c r="F433" i="2"/>
  <c r="E432" i="2"/>
  <c r="E426" i="2"/>
  <c r="E430" i="2"/>
  <c r="E437" i="2"/>
  <c r="E436" i="2"/>
  <c r="F546" i="2"/>
  <c r="E440" i="2"/>
  <c r="K447" i="2"/>
  <c r="F447" i="2"/>
  <c r="E438" i="2"/>
  <c r="K435" i="2"/>
  <c r="F435" i="2"/>
  <c r="E431" i="2"/>
  <c r="E428" i="2"/>
  <c r="G544" i="2"/>
  <c r="F544" i="2"/>
  <c r="E544" i="2"/>
  <c r="C546" i="2"/>
  <c r="K448" i="2"/>
  <c r="F448" i="2"/>
  <c r="H547" i="2"/>
  <c r="E439" i="2"/>
  <c r="F443" i="2"/>
  <c r="H443" i="2" s="1"/>
  <c r="I443" i="2" s="1"/>
  <c r="E434" i="2"/>
  <c r="F444" i="2"/>
  <c r="H444" i="2" s="1"/>
  <c r="I444" i="2" s="1"/>
  <c r="G546" i="2"/>
  <c r="E427" i="2"/>
  <c r="K446" i="2"/>
  <c r="F446" i="2"/>
  <c r="E429" i="2"/>
  <c r="H546" i="2"/>
  <c r="I441" i="2"/>
  <c r="L441" i="2"/>
  <c r="I449" i="2"/>
  <c r="L449" i="2"/>
  <c r="I445" i="2"/>
  <c r="L445" i="2"/>
  <c r="L27" i="13"/>
  <c r="E246" i="2" a="1"/>
  <c r="C240" i="2"/>
  <c r="L442" i="2" l="1"/>
  <c r="F550" i="2"/>
  <c r="D550" i="2"/>
  <c r="E550" i="2"/>
  <c r="G550" i="2"/>
  <c r="C550" i="2"/>
  <c r="K440" i="2"/>
  <c r="F440" i="2"/>
  <c r="H543" i="2"/>
  <c r="K439" i="2"/>
  <c r="F439" i="2"/>
  <c r="H542" i="2"/>
  <c r="K437" i="2"/>
  <c r="F437" i="2"/>
  <c r="H540" i="2"/>
  <c r="H448" i="2"/>
  <c r="I448" i="2" s="1"/>
  <c r="L448" i="2"/>
  <c r="K430" i="2"/>
  <c r="F430" i="2"/>
  <c r="H533" i="2"/>
  <c r="K426" i="2"/>
  <c r="F426" i="2"/>
  <c r="H529" i="2"/>
  <c r="K431" i="2"/>
  <c r="F431" i="2"/>
  <c r="H534" i="2"/>
  <c r="H447" i="2"/>
  <c r="I447" i="2" s="1"/>
  <c r="L447" i="2"/>
  <c r="K434" i="2"/>
  <c r="F434" i="2"/>
  <c r="H537" i="2"/>
  <c r="L444" i="2"/>
  <c r="K436" i="2"/>
  <c r="F436" i="2"/>
  <c r="H539" i="2"/>
  <c r="L443" i="2"/>
  <c r="D551" i="2"/>
  <c r="C551" i="2"/>
  <c r="E551" i="2"/>
  <c r="G551" i="2"/>
  <c r="F551" i="2"/>
  <c r="K432" i="2"/>
  <c r="F432" i="2"/>
  <c r="H535" i="2"/>
  <c r="K428" i="2"/>
  <c r="F428" i="2"/>
  <c r="H531" i="2"/>
  <c r="L433" i="2"/>
  <c r="H433" i="2"/>
  <c r="K429" i="2"/>
  <c r="H532" i="2"/>
  <c r="F429" i="2"/>
  <c r="C536" i="2"/>
  <c r="G536" i="2"/>
  <c r="E536" i="2"/>
  <c r="F536" i="2"/>
  <c r="D536" i="2"/>
  <c r="H446" i="2"/>
  <c r="I446" i="2" s="1"/>
  <c r="L446" i="2"/>
  <c r="L435" i="2"/>
  <c r="H435" i="2"/>
  <c r="F549" i="2"/>
  <c r="G549" i="2"/>
  <c r="C549" i="2"/>
  <c r="D549" i="2"/>
  <c r="E549" i="2"/>
  <c r="F538" i="2"/>
  <c r="E538" i="2"/>
  <c r="G538" i="2"/>
  <c r="D538" i="2"/>
  <c r="C538" i="2"/>
  <c r="K427" i="2"/>
  <c r="F427" i="2"/>
  <c r="H530" i="2"/>
  <c r="K438" i="2"/>
  <c r="F438" i="2"/>
  <c r="H541" i="2"/>
  <c r="F545" i="2"/>
  <c r="D545" i="2"/>
  <c r="G545" i="2"/>
  <c r="E545" i="2"/>
  <c r="C545" i="2"/>
  <c r="D425" i="2"/>
  <c r="G425" i="2" s="1"/>
  <c r="I321" i="2"/>
  <c r="I319" i="2"/>
  <c r="H320" i="2"/>
  <c r="D421" i="2"/>
  <c r="G421" i="2" s="1"/>
  <c r="D424" i="2"/>
  <c r="G424" i="2" s="1"/>
  <c r="H316" i="2"/>
  <c r="I316" i="2"/>
  <c r="H317" i="2"/>
  <c r="I317" i="2"/>
  <c r="H318" i="2"/>
  <c r="I318" i="2"/>
  <c r="D420" i="2"/>
  <c r="G420" i="2" s="1"/>
  <c r="H319" i="2"/>
  <c r="D422" i="2"/>
  <c r="G422" i="2" s="1"/>
  <c r="D423" i="2"/>
  <c r="G423" i="2" s="1"/>
  <c r="I320" i="2"/>
  <c r="H321" i="2"/>
  <c r="E246" i="2"/>
  <c r="I314" i="2"/>
  <c r="D414" i="2"/>
  <c r="G414" i="2" s="1"/>
  <c r="H314" i="2"/>
  <c r="H301" i="2"/>
  <c r="I313" i="2"/>
  <c r="H308" i="2"/>
  <c r="H313" i="2"/>
  <c r="D405" i="2"/>
  <c r="G405" i="2" s="1"/>
  <c r="D413" i="2"/>
  <c r="G413" i="2" s="1"/>
  <c r="D419" i="2"/>
  <c r="G419" i="2" s="1"/>
  <c r="I307" i="2"/>
  <c r="I311" i="2"/>
  <c r="H307" i="2"/>
  <c r="I300" i="2"/>
  <c r="D403" i="2"/>
  <c r="G403" i="2" s="1"/>
  <c r="I312" i="2"/>
  <c r="I305" i="2"/>
  <c r="D412" i="2"/>
  <c r="G412" i="2" s="1"/>
  <c r="H312" i="2"/>
  <c r="H305" i="2"/>
  <c r="I310" i="2"/>
  <c r="D418" i="2"/>
  <c r="G418" i="2" s="1"/>
  <c r="I304" i="2"/>
  <c r="H299" i="2"/>
  <c r="D417" i="2"/>
  <c r="G417" i="2" s="1"/>
  <c r="H304" i="2"/>
  <c r="D407" i="2"/>
  <c r="G407" i="2" s="1"/>
  <c r="I303" i="2"/>
  <c r="D411" i="2"/>
  <c r="G411" i="2" s="1"/>
  <c r="I299" i="2"/>
  <c r="D410" i="2"/>
  <c r="G410" i="2" s="1"/>
  <c r="D416" i="2"/>
  <c r="G416" i="2" s="1"/>
  <c r="D409" i="2"/>
  <c r="G409" i="2" s="1"/>
  <c r="H303" i="2"/>
  <c r="H309" i="2"/>
  <c r="D408" i="2"/>
  <c r="G408" i="2" s="1"/>
  <c r="I306" i="2"/>
  <c r="I302" i="2"/>
  <c r="H311" i="2"/>
  <c r="I308" i="2"/>
  <c r="H310" i="2"/>
  <c r="D406" i="2"/>
  <c r="G406" i="2" s="1"/>
  <c r="H302" i="2"/>
  <c r="I309" i="2"/>
  <c r="D404" i="2"/>
  <c r="G404" i="2" s="1"/>
  <c r="I315" i="2"/>
  <c r="H300" i="2"/>
  <c r="D415" i="2"/>
  <c r="G415" i="2" s="1"/>
  <c r="H315" i="2"/>
  <c r="I301" i="2"/>
  <c r="H306" i="2"/>
  <c r="H295" i="2"/>
  <c r="I295" i="2"/>
  <c r="H296" i="2"/>
  <c r="I296" i="2"/>
  <c r="H297" i="2"/>
  <c r="I297" i="2"/>
  <c r="H298" i="2"/>
  <c r="D402" i="2"/>
  <c r="G402" i="2" s="1"/>
  <c r="I298" i="2"/>
  <c r="D399" i="2"/>
  <c r="G399" i="2" s="1"/>
  <c r="D400" i="2"/>
  <c r="G400" i="2" s="1"/>
  <c r="D401" i="2"/>
  <c r="G401" i="2" s="1"/>
  <c r="I281" i="2"/>
  <c r="I292" i="2"/>
  <c r="D385" i="2"/>
  <c r="G385" i="2" s="1"/>
  <c r="H282" i="2"/>
  <c r="H293" i="2"/>
  <c r="H283" i="2"/>
  <c r="H284" i="2"/>
  <c r="D386" i="2"/>
  <c r="G386" i="2" s="1"/>
  <c r="I282" i="2"/>
  <c r="I293" i="2"/>
  <c r="D387" i="2"/>
  <c r="G387" i="2" s="1"/>
  <c r="H294" i="2"/>
  <c r="D389" i="2"/>
  <c r="G389" i="2" s="1"/>
  <c r="D388" i="2"/>
  <c r="G388" i="2" s="1"/>
  <c r="I283" i="2"/>
  <c r="I294" i="2"/>
  <c r="D390" i="2"/>
  <c r="G390" i="2" s="1"/>
  <c r="I284" i="2"/>
  <c r="D391" i="2"/>
  <c r="G391" i="2" s="1"/>
  <c r="H285" i="2"/>
  <c r="D392" i="2"/>
  <c r="G392" i="2" s="1"/>
  <c r="I285" i="2"/>
  <c r="D393" i="2"/>
  <c r="G393" i="2" s="1"/>
  <c r="H286" i="2"/>
  <c r="D394" i="2"/>
  <c r="G394" i="2" s="1"/>
  <c r="I286" i="2"/>
  <c r="D395" i="2"/>
  <c r="G395" i="2" s="1"/>
  <c r="H287" i="2"/>
  <c r="D396" i="2"/>
  <c r="G396" i="2" s="1"/>
  <c r="I287" i="2"/>
  <c r="H292" i="2"/>
  <c r="D397" i="2"/>
  <c r="G397" i="2" s="1"/>
  <c r="H288" i="2"/>
  <c r="D398" i="2"/>
  <c r="G398" i="2" s="1"/>
  <c r="I288" i="2"/>
  <c r="H289" i="2"/>
  <c r="I289" i="2"/>
  <c r="H290" i="2"/>
  <c r="I290" i="2"/>
  <c r="H291" i="2"/>
  <c r="I291" i="2"/>
  <c r="H281" i="2"/>
  <c r="D382" i="2"/>
  <c r="G382" i="2" s="1"/>
  <c r="D350" i="2"/>
  <c r="D352" i="2"/>
  <c r="G352" i="2" s="1"/>
  <c r="D353" i="2"/>
  <c r="G353" i="2" s="1"/>
  <c r="D383" i="2"/>
  <c r="G383" i="2" s="1"/>
  <c r="D384" i="2"/>
  <c r="G384" i="2" s="1"/>
  <c r="D351" i="2"/>
  <c r="G351" i="2" s="1"/>
  <c r="D373" i="2"/>
  <c r="G373" i="2" s="1"/>
  <c r="D361" i="2"/>
  <c r="G361" i="2" s="1"/>
  <c r="D374" i="2"/>
  <c r="G374" i="2" s="1"/>
  <c r="D362" i="2"/>
  <c r="G362" i="2" s="1"/>
  <c r="D355" i="2"/>
  <c r="G355" i="2" s="1"/>
  <c r="D360" i="2"/>
  <c r="G360" i="2" s="1"/>
  <c r="D364" i="2"/>
  <c r="G364" i="2" s="1"/>
  <c r="D368" i="2"/>
  <c r="G368" i="2" s="1"/>
  <c r="D369" i="2"/>
  <c r="G369" i="2" s="1"/>
  <c r="D379" i="2"/>
  <c r="G379" i="2" s="1"/>
  <c r="D381" i="2"/>
  <c r="G381" i="2" s="1"/>
  <c r="D356" i="2"/>
  <c r="G356" i="2" s="1"/>
  <c r="D357" i="2"/>
  <c r="G357" i="2" s="1"/>
  <c r="D359" i="2"/>
  <c r="G359" i="2" s="1"/>
  <c r="D365" i="2"/>
  <c r="G365" i="2" s="1"/>
  <c r="D366" i="2"/>
  <c r="G366" i="2" s="1"/>
  <c r="D367" i="2"/>
  <c r="G367" i="2" s="1"/>
  <c r="D370" i="2"/>
  <c r="G370" i="2" s="1"/>
  <c r="D371" i="2"/>
  <c r="G371" i="2" s="1"/>
  <c r="D354" i="2"/>
  <c r="G354" i="2" s="1"/>
  <c r="D358" i="2"/>
  <c r="G358" i="2" s="1"/>
  <c r="D363" i="2"/>
  <c r="G363" i="2" s="1"/>
  <c r="D380" i="2"/>
  <c r="G380" i="2" s="1"/>
  <c r="D372" i="2"/>
  <c r="G372" i="2" s="1"/>
  <c r="D375" i="2"/>
  <c r="G375" i="2" s="1"/>
  <c r="D376" i="2"/>
  <c r="G376" i="2" s="1"/>
  <c r="D377" i="2"/>
  <c r="G377" i="2" s="1"/>
  <c r="D378" i="2"/>
  <c r="G378" i="2" s="1"/>
  <c r="H276" i="2"/>
  <c r="H253" i="2"/>
  <c r="H264" i="2"/>
  <c r="H255" i="2"/>
  <c r="I278" i="2"/>
  <c r="H268" i="2"/>
  <c r="H279" i="2"/>
  <c r="H256" i="2"/>
  <c r="H280" i="2"/>
  <c r="I257" i="2"/>
  <c r="H247" i="2"/>
  <c r="I260" i="2"/>
  <c r="H250" i="2"/>
  <c r="I273" i="2"/>
  <c r="I276" i="2"/>
  <c r="I253" i="2"/>
  <c r="I264" i="2"/>
  <c r="H278" i="2"/>
  <c r="I267" i="2"/>
  <c r="I279" i="2"/>
  <c r="I280" i="2"/>
  <c r="I258" i="2"/>
  <c r="H271" i="2"/>
  <c r="I248" i="2"/>
  <c r="I272" i="2"/>
  <c r="I250" i="2"/>
  <c r="I274" i="2"/>
  <c r="I262" i="2"/>
  <c r="H266" i="2"/>
  <c r="H277" i="2"/>
  <c r="H254" i="2"/>
  <c r="H265" i="2"/>
  <c r="H267" i="2"/>
  <c r="I256" i="2"/>
  <c r="I270" i="2"/>
  <c r="H259" i="2"/>
  <c r="I271" i="2"/>
  <c r="H260" i="2"/>
  <c r="H273" i="2"/>
  <c r="H274" i="2"/>
  <c r="H262" i="2"/>
  <c r="I266" i="2"/>
  <c r="I277" i="2"/>
  <c r="I254" i="2"/>
  <c r="I265" i="2"/>
  <c r="I255" i="2"/>
  <c r="H269" i="2"/>
  <c r="I269" i="2"/>
  <c r="H258" i="2"/>
  <c r="H249" i="2"/>
  <c r="I249" i="2"/>
  <c r="H261" i="2"/>
  <c r="H251" i="2"/>
  <c r="I275" i="2"/>
  <c r="I252" i="2"/>
  <c r="I263" i="2"/>
  <c r="I268" i="2"/>
  <c r="H257" i="2"/>
  <c r="H270" i="2"/>
  <c r="I247" i="2"/>
  <c r="K247" i="2" s="1"/>
  <c r="H248" i="2"/>
  <c r="I259" i="2"/>
  <c r="H272" i="2"/>
  <c r="I261" i="2"/>
  <c r="I251" i="2"/>
  <c r="H275" i="2"/>
  <c r="H263" i="2"/>
  <c r="H252" i="2"/>
  <c r="L426" i="2" l="1"/>
  <c r="H426" i="2"/>
  <c r="F535" i="2"/>
  <c r="G535" i="2"/>
  <c r="E535" i="2"/>
  <c r="D535" i="2"/>
  <c r="C535" i="2"/>
  <c r="L432" i="2"/>
  <c r="H432" i="2"/>
  <c r="L429" i="2"/>
  <c r="H429" i="2"/>
  <c r="E529" i="2"/>
  <c r="D529" i="2"/>
  <c r="G529" i="2"/>
  <c r="C529" i="2"/>
  <c r="F529" i="2"/>
  <c r="L430" i="2"/>
  <c r="H430" i="2"/>
  <c r="L437" i="2"/>
  <c r="H437" i="2"/>
  <c r="E539" i="2"/>
  <c r="G539" i="2"/>
  <c r="F539" i="2"/>
  <c r="D539" i="2"/>
  <c r="C539" i="2"/>
  <c r="L438" i="2"/>
  <c r="H438" i="2"/>
  <c r="F542" i="2"/>
  <c r="C542" i="2"/>
  <c r="D542" i="2"/>
  <c r="G542" i="2"/>
  <c r="E542" i="2"/>
  <c r="L434" i="2"/>
  <c r="H434" i="2"/>
  <c r="D537" i="2"/>
  <c r="F537" i="2"/>
  <c r="G537" i="2"/>
  <c r="E537" i="2"/>
  <c r="C537" i="2"/>
  <c r="F532" i="2"/>
  <c r="G532" i="2"/>
  <c r="D532" i="2"/>
  <c r="C532" i="2"/>
  <c r="E532" i="2"/>
  <c r="L431" i="2"/>
  <c r="H431" i="2"/>
  <c r="C531" i="2"/>
  <c r="D531" i="2"/>
  <c r="E531" i="2"/>
  <c r="F531" i="2"/>
  <c r="G531" i="2"/>
  <c r="G533" i="2"/>
  <c r="F533" i="2"/>
  <c r="D533" i="2"/>
  <c r="E533" i="2"/>
  <c r="C533" i="2"/>
  <c r="F540" i="2"/>
  <c r="C540" i="2"/>
  <c r="D540" i="2"/>
  <c r="E540" i="2"/>
  <c r="G540" i="2"/>
  <c r="L436" i="2"/>
  <c r="H436" i="2"/>
  <c r="L439" i="2"/>
  <c r="H439" i="2"/>
  <c r="G541" i="2"/>
  <c r="D541" i="2"/>
  <c r="E541" i="2"/>
  <c r="F541" i="2"/>
  <c r="C541" i="2"/>
  <c r="L440" i="2"/>
  <c r="H440" i="2"/>
  <c r="L427" i="2"/>
  <c r="H427" i="2"/>
  <c r="G543" i="2"/>
  <c r="C543" i="2"/>
  <c r="F543" i="2"/>
  <c r="D543" i="2"/>
  <c r="E543" i="2"/>
  <c r="G530" i="2"/>
  <c r="F530" i="2"/>
  <c r="D530" i="2"/>
  <c r="E530" i="2"/>
  <c r="C530" i="2"/>
  <c r="L428" i="2"/>
  <c r="H428" i="2"/>
  <c r="D534" i="2"/>
  <c r="F534" i="2"/>
  <c r="C534" i="2"/>
  <c r="E534" i="2"/>
  <c r="G534" i="2"/>
  <c r="L317" i="2"/>
  <c r="N317" i="2"/>
  <c r="K317" i="2"/>
  <c r="O317" i="2"/>
  <c r="P317" i="2"/>
  <c r="Q317" i="2"/>
  <c r="T317" i="2"/>
  <c r="U317" i="2"/>
  <c r="C421" i="2" s="1" a="1"/>
  <c r="C421" i="2" s="1"/>
  <c r="B421" i="2" s="1"/>
  <c r="V317" i="2"/>
  <c r="W317" i="2"/>
  <c r="Y317" i="2"/>
  <c r="J317" i="2"/>
  <c r="S317" i="2"/>
  <c r="R317" i="2"/>
  <c r="M317" i="2"/>
  <c r="X317" i="2"/>
  <c r="L321" i="2"/>
  <c r="P321" i="2"/>
  <c r="Q321" i="2"/>
  <c r="K321" i="2"/>
  <c r="S321" i="2"/>
  <c r="V321" i="2"/>
  <c r="X321" i="2"/>
  <c r="J321" i="2"/>
  <c r="Y321" i="2"/>
  <c r="U321" i="2"/>
  <c r="C425" i="2" s="1" a="1"/>
  <c r="C425" i="2" s="1"/>
  <c r="B425" i="2" s="1"/>
  <c r="R321" i="2"/>
  <c r="W321" i="2"/>
  <c r="O321" i="2"/>
  <c r="T321" i="2"/>
  <c r="M321" i="2"/>
  <c r="N321" i="2"/>
  <c r="M320" i="2"/>
  <c r="X320" i="2"/>
  <c r="W320" i="2"/>
  <c r="Y320" i="2"/>
  <c r="R320" i="2"/>
  <c r="Q320" i="2"/>
  <c r="P320" i="2"/>
  <c r="L320" i="2"/>
  <c r="J320" i="2"/>
  <c r="U320" i="2"/>
  <c r="C424" i="2" s="1" a="1"/>
  <c r="C424" i="2" s="1"/>
  <c r="B424" i="2" s="1"/>
  <c r="K320" i="2"/>
  <c r="O320" i="2"/>
  <c r="N320" i="2"/>
  <c r="V320" i="2"/>
  <c r="T320" i="2"/>
  <c r="S320" i="2"/>
  <c r="L318" i="2"/>
  <c r="Q318" i="2"/>
  <c r="R318" i="2"/>
  <c r="S318" i="2"/>
  <c r="W318" i="2"/>
  <c r="X318" i="2"/>
  <c r="Y318" i="2"/>
  <c r="K318" i="2"/>
  <c r="T318" i="2"/>
  <c r="M318" i="2"/>
  <c r="V318" i="2"/>
  <c r="J318" i="2"/>
  <c r="U318" i="2"/>
  <c r="C422" i="2" s="1" a="1"/>
  <c r="C422" i="2" s="1"/>
  <c r="B422" i="2" s="1"/>
  <c r="P318" i="2"/>
  <c r="O318" i="2"/>
  <c r="N318" i="2"/>
  <c r="L316" i="2"/>
  <c r="U316" i="2"/>
  <c r="C420" i="2" s="1" a="1"/>
  <c r="C420" i="2" s="1"/>
  <c r="B420" i="2" s="1"/>
  <c r="J316" i="2"/>
  <c r="R316" i="2"/>
  <c r="W316" i="2"/>
  <c r="K316" i="2"/>
  <c r="V316" i="2"/>
  <c r="N316" i="2"/>
  <c r="S316" i="2"/>
  <c r="Q316" i="2"/>
  <c r="P316" i="2"/>
  <c r="M316" i="2"/>
  <c r="T316" i="2"/>
  <c r="Y316" i="2"/>
  <c r="X316" i="2"/>
  <c r="O316" i="2"/>
  <c r="M319" i="2"/>
  <c r="N319" i="2"/>
  <c r="O319" i="2"/>
  <c r="U319" i="2"/>
  <c r="C423" i="2" s="1" a="1"/>
  <c r="C423" i="2" s="1"/>
  <c r="B423" i="2" s="1"/>
  <c r="V319" i="2"/>
  <c r="S319" i="2"/>
  <c r="R319" i="2"/>
  <c r="Q319" i="2"/>
  <c r="P319" i="2"/>
  <c r="L319" i="2"/>
  <c r="X319" i="2"/>
  <c r="W319" i="2"/>
  <c r="T319" i="2"/>
  <c r="Y319" i="2"/>
  <c r="J319" i="2"/>
  <c r="K319" i="2"/>
  <c r="V305" i="2"/>
  <c r="W305" i="2"/>
  <c r="O305" i="2"/>
  <c r="P305" i="2"/>
  <c r="J305" i="2"/>
  <c r="N305" i="2"/>
  <c r="X305" i="2"/>
  <c r="Y305" i="2"/>
  <c r="Q305" i="2"/>
  <c r="K305" i="2"/>
  <c r="R305" i="2"/>
  <c r="S305" i="2"/>
  <c r="T305" i="2"/>
  <c r="U305" i="2"/>
  <c r="V250" i="2"/>
  <c r="W250" i="2"/>
  <c r="U250" i="2"/>
  <c r="N250" i="2"/>
  <c r="O250" i="2"/>
  <c r="P250" i="2"/>
  <c r="Q250" i="2"/>
  <c r="R250" i="2"/>
  <c r="X250" i="2"/>
  <c r="S250" i="2"/>
  <c r="T250" i="2"/>
  <c r="Y250" i="2"/>
  <c r="K250" i="2"/>
  <c r="J250" i="2"/>
  <c r="P315" i="2"/>
  <c r="R315" i="2"/>
  <c r="Q315" i="2"/>
  <c r="K315" i="2"/>
  <c r="N315" i="2"/>
  <c r="O315" i="2"/>
  <c r="J315" i="2"/>
  <c r="T315" i="2"/>
  <c r="U315" i="2"/>
  <c r="W315" i="2"/>
  <c r="X315" i="2"/>
  <c r="V315" i="2"/>
  <c r="Y315" i="2"/>
  <c r="S315" i="2"/>
  <c r="O284" i="2"/>
  <c r="P284" i="2"/>
  <c r="Y284" i="2"/>
  <c r="Q284" i="2"/>
  <c r="X284" i="2"/>
  <c r="R284" i="2"/>
  <c r="S284" i="2"/>
  <c r="T284" i="2"/>
  <c r="U284" i="2"/>
  <c r="V284" i="2"/>
  <c r="J284" i="2"/>
  <c r="W284" i="2"/>
  <c r="N284" i="2"/>
  <c r="K284" i="2"/>
  <c r="N269" i="2"/>
  <c r="O269" i="2"/>
  <c r="Y269" i="2"/>
  <c r="K269" i="2"/>
  <c r="X269" i="2"/>
  <c r="J269" i="2"/>
  <c r="V269" i="2"/>
  <c r="P269" i="2"/>
  <c r="W269" i="2"/>
  <c r="S269" i="2"/>
  <c r="Q269" i="2"/>
  <c r="T269" i="2"/>
  <c r="R269" i="2"/>
  <c r="U269" i="2"/>
  <c r="V294" i="2"/>
  <c r="W294" i="2"/>
  <c r="O294" i="2"/>
  <c r="P294" i="2"/>
  <c r="K294" i="2"/>
  <c r="Q294" i="2"/>
  <c r="R294" i="2"/>
  <c r="S294" i="2"/>
  <c r="T294" i="2"/>
  <c r="U294" i="2"/>
  <c r="X294" i="2"/>
  <c r="Y294" i="2"/>
  <c r="N294" i="2"/>
  <c r="J294" i="2"/>
  <c r="R265" i="2"/>
  <c r="S265" i="2"/>
  <c r="K265" i="2"/>
  <c r="Y265" i="2"/>
  <c r="V265" i="2"/>
  <c r="W265" i="2"/>
  <c r="X265" i="2"/>
  <c r="J265" i="2"/>
  <c r="T265" i="2"/>
  <c r="N265" i="2"/>
  <c r="Q265" i="2"/>
  <c r="O265" i="2"/>
  <c r="P265" i="2"/>
  <c r="U265" i="2"/>
  <c r="R254" i="2"/>
  <c r="S254" i="2"/>
  <c r="J254" i="2"/>
  <c r="N254" i="2"/>
  <c r="O254" i="2"/>
  <c r="W254" i="2"/>
  <c r="X254" i="2"/>
  <c r="P254" i="2"/>
  <c r="Q254" i="2"/>
  <c r="T254" i="2"/>
  <c r="U254" i="2"/>
  <c r="V254" i="2"/>
  <c r="Y254" i="2"/>
  <c r="K254" i="2"/>
  <c r="X303" i="2"/>
  <c r="Y303" i="2"/>
  <c r="J303" i="2"/>
  <c r="P303" i="2"/>
  <c r="O303" i="2"/>
  <c r="N303" i="2"/>
  <c r="R303" i="2"/>
  <c r="Q303" i="2"/>
  <c r="S303" i="2"/>
  <c r="K303" i="2"/>
  <c r="T303" i="2"/>
  <c r="U303" i="2"/>
  <c r="V303" i="2"/>
  <c r="W303" i="2"/>
  <c r="X259" i="2"/>
  <c r="Y259" i="2"/>
  <c r="W259" i="2"/>
  <c r="J259" i="2"/>
  <c r="K259" i="2"/>
  <c r="U259" i="2"/>
  <c r="V259" i="2"/>
  <c r="N259" i="2"/>
  <c r="O259" i="2"/>
  <c r="P259" i="2"/>
  <c r="Q259" i="2"/>
  <c r="R259" i="2"/>
  <c r="S259" i="2"/>
  <c r="T259" i="2"/>
  <c r="W255" i="2"/>
  <c r="X255" i="2"/>
  <c r="J255" i="2"/>
  <c r="Y255" i="2"/>
  <c r="U255" i="2"/>
  <c r="N255" i="2"/>
  <c r="T255" i="2"/>
  <c r="V255" i="2"/>
  <c r="S255" i="2"/>
  <c r="K255" i="2"/>
  <c r="O255" i="2"/>
  <c r="P255" i="2"/>
  <c r="Q255" i="2"/>
  <c r="R255" i="2"/>
  <c r="P311" i="2"/>
  <c r="Q311" i="2"/>
  <c r="K311" i="2"/>
  <c r="O311" i="2"/>
  <c r="N311" i="2"/>
  <c r="T311" i="2"/>
  <c r="W311" i="2"/>
  <c r="X311" i="2"/>
  <c r="S311" i="2"/>
  <c r="V311" i="2"/>
  <c r="R311" i="2"/>
  <c r="U311" i="2"/>
  <c r="J311" i="2"/>
  <c r="Y311" i="2"/>
  <c r="Y277" i="2"/>
  <c r="J277" i="2"/>
  <c r="N277" i="2"/>
  <c r="K277" i="2"/>
  <c r="X277" i="2"/>
  <c r="O277" i="2"/>
  <c r="V277" i="2"/>
  <c r="U277" i="2"/>
  <c r="T277" i="2"/>
  <c r="W277" i="2"/>
  <c r="P277" i="2"/>
  <c r="Q277" i="2"/>
  <c r="R277" i="2"/>
  <c r="S277" i="2"/>
  <c r="P301" i="2"/>
  <c r="J301" i="2"/>
  <c r="O301" i="2"/>
  <c r="N301" i="2"/>
  <c r="T301" i="2"/>
  <c r="S301" i="2"/>
  <c r="U301" i="2"/>
  <c r="V301" i="2"/>
  <c r="X301" i="2"/>
  <c r="K301" i="2"/>
  <c r="R301" i="2"/>
  <c r="W301" i="2"/>
  <c r="Q301" i="2"/>
  <c r="Y301" i="2"/>
  <c r="N262" i="2"/>
  <c r="K262" i="2"/>
  <c r="O262" i="2"/>
  <c r="P262" i="2"/>
  <c r="Q262" i="2"/>
  <c r="R262" i="2"/>
  <c r="S262" i="2"/>
  <c r="T262" i="2"/>
  <c r="W262" i="2"/>
  <c r="U262" i="2"/>
  <c r="J262" i="2"/>
  <c r="V262" i="2"/>
  <c r="X262" i="2"/>
  <c r="Y262" i="2"/>
  <c r="P278" i="2"/>
  <c r="Q278" i="2"/>
  <c r="N278" i="2"/>
  <c r="J278" i="2"/>
  <c r="O278" i="2"/>
  <c r="R278" i="2"/>
  <c r="S278" i="2"/>
  <c r="T278" i="2"/>
  <c r="U278" i="2"/>
  <c r="V278" i="2"/>
  <c r="Y278" i="2"/>
  <c r="W278" i="2"/>
  <c r="X278" i="2"/>
  <c r="K278" i="2"/>
  <c r="V272" i="2"/>
  <c r="W272" i="2"/>
  <c r="N272" i="2"/>
  <c r="Y272" i="2"/>
  <c r="O272" i="2"/>
  <c r="P272" i="2"/>
  <c r="X272" i="2"/>
  <c r="Q272" i="2"/>
  <c r="R272" i="2"/>
  <c r="K272" i="2"/>
  <c r="S272" i="2"/>
  <c r="T272" i="2"/>
  <c r="U272" i="2"/>
  <c r="J272" i="2"/>
  <c r="X248" i="2"/>
  <c r="Y248" i="2"/>
  <c r="N248" i="2"/>
  <c r="O248" i="2"/>
  <c r="P248" i="2"/>
  <c r="V248" i="2"/>
  <c r="Q248" i="2"/>
  <c r="R248" i="2"/>
  <c r="S248" i="2"/>
  <c r="T248" i="2"/>
  <c r="K248" i="2"/>
  <c r="U248" i="2"/>
  <c r="W248" i="2"/>
  <c r="J248" i="2"/>
  <c r="R309" i="2"/>
  <c r="S309" i="2"/>
  <c r="J309" i="2"/>
  <c r="O309" i="2"/>
  <c r="P309" i="2"/>
  <c r="N309" i="2"/>
  <c r="K309" i="2"/>
  <c r="Q309" i="2"/>
  <c r="U309" i="2"/>
  <c r="T309" i="2"/>
  <c r="V309" i="2"/>
  <c r="X309" i="2"/>
  <c r="Y309" i="2"/>
  <c r="W309" i="2"/>
  <c r="V261" i="2"/>
  <c r="W261" i="2"/>
  <c r="Y261" i="2"/>
  <c r="K261" i="2"/>
  <c r="J261" i="2"/>
  <c r="S261" i="2"/>
  <c r="O261" i="2"/>
  <c r="T261" i="2"/>
  <c r="N261" i="2"/>
  <c r="R261" i="2"/>
  <c r="U261" i="2"/>
  <c r="X261" i="2"/>
  <c r="Q261" i="2"/>
  <c r="P261" i="2"/>
  <c r="N247" i="2"/>
  <c r="O247" i="2"/>
  <c r="P247" i="2"/>
  <c r="Q247" i="2"/>
  <c r="R247" i="2"/>
  <c r="S247" i="2"/>
  <c r="T247" i="2"/>
  <c r="U247" i="2"/>
  <c r="V247" i="2"/>
  <c r="W247" i="2"/>
  <c r="X247" i="2"/>
  <c r="Y247" i="2"/>
  <c r="J247" i="2"/>
  <c r="J251" i="2"/>
  <c r="W251" i="2"/>
  <c r="X251" i="2"/>
  <c r="Y251" i="2"/>
  <c r="R251" i="2"/>
  <c r="T251" i="2"/>
  <c r="K251" i="2"/>
  <c r="S251" i="2"/>
  <c r="V251" i="2"/>
  <c r="U251" i="2"/>
  <c r="N251" i="2"/>
  <c r="O251" i="2"/>
  <c r="P251" i="2"/>
  <c r="Q251" i="2"/>
  <c r="Y279" i="2"/>
  <c r="J279" i="2"/>
  <c r="N279" i="2"/>
  <c r="R279" i="2"/>
  <c r="V279" i="2"/>
  <c r="X279" i="2"/>
  <c r="S279" i="2"/>
  <c r="T279" i="2"/>
  <c r="K279" i="2"/>
  <c r="U279" i="2"/>
  <c r="W279" i="2"/>
  <c r="O279" i="2"/>
  <c r="P279" i="2"/>
  <c r="Q279" i="2"/>
  <c r="K264" i="2"/>
  <c r="N264" i="2"/>
  <c r="W264" i="2"/>
  <c r="O264" i="2"/>
  <c r="J264" i="2"/>
  <c r="X264" i="2"/>
  <c r="P264" i="2"/>
  <c r="Q264" i="2"/>
  <c r="R264" i="2"/>
  <c r="S264" i="2"/>
  <c r="T264" i="2"/>
  <c r="V264" i="2"/>
  <c r="U264" i="2"/>
  <c r="Y264" i="2"/>
  <c r="K297" i="2"/>
  <c r="O297" i="2"/>
  <c r="P297" i="2"/>
  <c r="N297" i="2"/>
  <c r="R297" i="2"/>
  <c r="S297" i="2"/>
  <c r="V297" i="2"/>
  <c r="Y297" i="2"/>
  <c r="X297" i="2"/>
  <c r="T297" i="2"/>
  <c r="U297" i="2"/>
  <c r="J297" i="2"/>
  <c r="W297" i="2"/>
  <c r="Q297" i="2"/>
  <c r="K308" i="2"/>
  <c r="Q308" i="2"/>
  <c r="R308" i="2"/>
  <c r="S308" i="2"/>
  <c r="T308" i="2"/>
  <c r="U308" i="2"/>
  <c r="X308" i="2"/>
  <c r="V308" i="2"/>
  <c r="W308" i="2"/>
  <c r="Y308" i="2"/>
  <c r="J308" i="2"/>
  <c r="P308" i="2"/>
  <c r="O308" i="2"/>
  <c r="N308" i="2"/>
  <c r="T296" i="2"/>
  <c r="U296" i="2"/>
  <c r="O296" i="2"/>
  <c r="P296" i="2"/>
  <c r="K296" i="2"/>
  <c r="Q296" i="2"/>
  <c r="R296" i="2"/>
  <c r="S296" i="2"/>
  <c r="V296" i="2"/>
  <c r="W296" i="2"/>
  <c r="X296" i="2"/>
  <c r="Y296" i="2"/>
  <c r="N296" i="2"/>
  <c r="J296" i="2"/>
  <c r="V268" i="2"/>
  <c r="N268" i="2"/>
  <c r="O268" i="2"/>
  <c r="P268" i="2"/>
  <c r="Q268" i="2"/>
  <c r="R268" i="2"/>
  <c r="K268" i="2"/>
  <c r="X268" i="2"/>
  <c r="S268" i="2"/>
  <c r="T268" i="2"/>
  <c r="U268" i="2"/>
  <c r="W268" i="2"/>
  <c r="Y268" i="2"/>
  <c r="J268" i="2"/>
  <c r="O290" i="2"/>
  <c r="V290" i="2"/>
  <c r="Y290" i="2"/>
  <c r="P290" i="2"/>
  <c r="Q290" i="2"/>
  <c r="R290" i="2"/>
  <c r="K290" i="2"/>
  <c r="S290" i="2"/>
  <c r="T290" i="2"/>
  <c r="U290" i="2"/>
  <c r="W290" i="2"/>
  <c r="X290" i="2"/>
  <c r="J290" i="2"/>
  <c r="N290" i="2"/>
  <c r="Q304" i="2"/>
  <c r="R304" i="2"/>
  <c r="S304" i="2"/>
  <c r="T304" i="2"/>
  <c r="J304" i="2"/>
  <c r="U304" i="2"/>
  <c r="V304" i="2"/>
  <c r="W304" i="2"/>
  <c r="X304" i="2"/>
  <c r="Y304" i="2"/>
  <c r="N304" i="2"/>
  <c r="O304" i="2"/>
  <c r="P304" i="2"/>
  <c r="K304" i="2"/>
  <c r="P256" i="2"/>
  <c r="Q256" i="2"/>
  <c r="W256" i="2"/>
  <c r="J256" i="2"/>
  <c r="X256" i="2"/>
  <c r="N256" i="2"/>
  <c r="O256" i="2"/>
  <c r="R256" i="2"/>
  <c r="S256" i="2"/>
  <c r="T256" i="2"/>
  <c r="U256" i="2"/>
  <c r="V256" i="2"/>
  <c r="K256" i="2"/>
  <c r="Y256" i="2"/>
  <c r="J295" i="2"/>
  <c r="P295" i="2"/>
  <c r="O295" i="2"/>
  <c r="K295" i="2"/>
  <c r="N295" i="2"/>
  <c r="T295" i="2"/>
  <c r="V295" i="2"/>
  <c r="W295" i="2"/>
  <c r="U295" i="2"/>
  <c r="X295" i="2"/>
  <c r="Y295" i="2"/>
  <c r="Q295" i="2"/>
  <c r="R295" i="2"/>
  <c r="S295" i="2"/>
  <c r="N302" i="2"/>
  <c r="O302" i="2"/>
  <c r="Q302" i="2"/>
  <c r="R302" i="2"/>
  <c r="S302" i="2"/>
  <c r="J302" i="2"/>
  <c r="T302" i="2"/>
  <c r="U302" i="2"/>
  <c r="V302" i="2"/>
  <c r="X302" i="2"/>
  <c r="W302" i="2"/>
  <c r="Y302" i="2"/>
  <c r="P302" i="2"/>
  <c r="K302" i="2"/>
  <c r="T252" i="2"/>
  <c r="U252" i="2"/>
  <c r="W252" i="2"/>
  <c r="N252" i="2"/>
  <c r="X252" i="2"/>
  <c r="O252" i="2"/>
  <c r="P252" i="2"/>
  <c r="Q252" i="2"/>
  <c r="R252" i="2"/>
  <c r="S252" i="2"/>
  <c r="V252" i="2"/>
  <c r="K252" i="2"/>
  <c r="Y252" i="2"/>
  <c r="J252" i="2"/>
  <c r="P289" i="2"/>
  <c r="Q289" i="2"/>
  <c r="K289" i="2"/>
  <c r="N289" i="2"/>
  <c r="R289" i="2"/>
  <c r="S289" i="2"/>
  <c r="T289" i="2"/>
  <c r="W289" i="2"/>
  <c r="J289" i="2"/>
  <c r="V289" i="2"/>
  <c r="O289" i="2"/>
  <c r="U289" i="2"/>
  <c r="X289" i="2"/>
  <c r="Y289" i="2"/>
  <c r="Q310" i="2"/>
  <c r="K310" i="2"/>
  <c r="R310" i="2"/>
  <c r="S310" i="2"/>
  <c r="T310" i="2"/>
  <c r="U310" i="2"/>
  <c r="V310" i="2"/>
  <c r="J310" i="2"/>
  <c r="W310" i="2"/>
  <c r="X310" i="2"/>
  <c r="Y310" i="2"/>
  <c r="N310" i="2"/>
  <c r="O310" i="2"/>
  <c r="P310" i="2"/>
  <c r="X292" i="2"/>
  <c r="Y292" i="2"/>
  <c r="O292" i="2"/>
  <c r="P292" i="2"/>
  <c r="V292" i="2"/>
  <c r="Q292" i="2"/>
  <c r="R292" i="2"/>
  <c r="S292" i="2"/>
  <c r="T292" i="2"/>
  <c r="K292" i="2"/>
  <c r="U292" i="2"/>
  <c r="W292" i="2"/>
  <c r="N292" i="2"/>
  <c r="J292" i="2"/>
  <c r="P300" i="2"/>
  <c r="Q300" i="2"/>
  <c r="O300" i="2"/>
  <c r="J300" i="2"/>
  <c r="S300" i="2"/>
  <c r="R300" i="2"/>
  <c r="T300" i="2"/>
  <c r="X300" i="2"/>
  <c r="U300" i="2"/>
  <c r="V300" i="2"/>
  <c r="W300" i="2"/>
  <c r="Y300" i="2"/>
  <c r="K300" i="2"/>
  <c r="N300" i="2"/>
  <c r="T307" i="2"/>
  <c r="U307" i="2"/>
  <c r="P307" i="2"/>
  <c r="N307" i="2"/>
  <c r="O307" i="2"/>
  <c r="J307" i="2"/>
  <c r="K307" i="2"/>
  <c r="R307" i="2"/>
  <c r="W307" i="2"/>
  <c r="V307" i="2"/>
  <c r="S307" i="2"/>
  <c r="Q307" i="2"/>
  <c r="X307" i="2"/>
  <c r="Y307" i="2"/>
  <c r="N280" i="2"/>
  <c r="O280" i="2"/>
  <c r="P280" i="2"/>
  <c r="Q280" i="2"/>
  <c r="Y280" i="2"/>
  <c r="R280" i="2"/>
  <c r="J280" i="2"/>
  <c r="S280" i="2"/>
  <c r="T280" i="2"/>
  <c r="U280" i="2"/>
  <c r="V280" i="2"/>
  <c r="W280" i="2"/>
  <c r="X280" i="2"/>
  <c r="K280" i="2"/>
  <c r="K286" i="2"/>
  <c r="O286" i="2"/>
  <c r="P286" i="2"/>
  <c r="Y286" i="2"/>
  <c r="Q286" i="2"/>
  <c r="R286" i="2"/>
  <c r="S286" i="2"/>
  <c r="T286" i="2"/>
  <c r="U286" i="2"/>
  <c r="V286" i="2"/>
  <c r="J286" i="2"/>
  <c r="W286" i="2"/>
  <c r="X286" i="2"/>
  <c r="N286" i="2"/>
  <c r="Q312" i="2"/>
  <c r="R312" i="2"/>
  <c r="S312" i="2"/>
  <c r="K312" i="2"/>
  <c r="T312" i="2"/>
  <c r="U312" i="2"/>
  <c r="V312" i="2"/>
  <c r="W312" i="2"/>
  <c r="X312" i="2"/>
  <c r="Y312" i="2"/>
  <c r="J312" i="2"/>
  <c r="N312" i="2"/>
  <c r="O312" i="2"/>
  <c r="P312" i="2"/>
  <c r="R287" i="2"/>
  <c r="S287" i="2"/>
  <c r="K287" i="2"/>
  <c r="J287" i="2"/>
  <c r="N287" i="2"/>
  <c r="X287" i="2"/>
  <c r="Y287" i="2"/>
  <c r="O287" i="2"/>
  <c r="Q287" i="2"/>
  <c r="P287" i="2"/>
  <c r="T287" i="2"/>
  <c r="U287" i="2"/>
  <c r="V287" i="2"/>
  <c r="W287" i="2"/>
  <c r="V283" i="2"/>
  <c r="W283" i="2"/>
  <c r="N283" i="2"/>
  <c r="J283" i="2"/>
  <c r="T283" i="2"/>
  <c r="U283" i="2"/>
  <c r="X283" i="2"/>
  <c r="O283" i="2"/>
  <c r="Q283" i="2"/>
  <c r="Y283" i="2"/>
  <c r="P283" i="2"/>
  <c r="R283" i="2"/>
  <c r="S283" i="2"/>
  <c r="K283" i="2"/>
  <c r="N258" i="2"/>
  <c r="O258" i="2"/>
  <c r="X258" i="2"/>
  <c r="P258" i="2"/>
  <c r="Q258" i="2"/>
  <c r="J258" i="2"/>
  <c r="R258" i="2"/>
  <c r="W258" i="2"/>
  <c r="S258" i="2"/>
  <c r="T258" i="2"/>
  <c r="U258" i="2"/>
  <c r="V258" i="2"/>
  <c r="Y258" i="2"/>
  <c r="K258" i="2"/>
  <c r="N266" i="2"/>
  <c r="O266" i="2"/>
  <c r="W266" i="2"/>
  <c r="P266" i="2"/>
  <c r="K266" i="2"/>
  <c r="Q266" i="2"/>
  <c r="R266" i="2"/>
  <c r="S266" i="2"/>
  <c r="T266" i="2"/>
  <c r="X266" i="2"/>
  <c r="U266" i="2"/>
  <c r="V266" i="2"/>
  <c r="Y266" i="2"/>
  <c r="J266" i="2"/>
  <c r="W253" i="2"/>
  <c r="X253" i="2"/>
  <c r="Y253" i="2"/>
  <c r="O253" i="2"/>
  <c r="P253" i="2"/>
  <c r="S253" i="2"/>
  <c r="Q253" i="2"/>
  <c r="V253" i="2"/>
  <c r="R253" i="2"/>
  <c r="U253" i="2"/>
  <c r="K253" i="2"/>
  <c r="J253" i="2"/>
  <c r="T253" i="2"/>
  <c r="N253" i="2"/>
  <c r="O282" i="2"/>
  <c r="P282" i="2"/>
  <c r="Q282" i="2"/>
  <c r="R282" i="2"/>
  <c r="S282" i="2"/>
  <c r="T282" i="2"/>
  <c r="J282" i="2"/>
  <c r="X282" i="2"/>
  <c r="Y282" i="2"/>
  <c r="U282" i="2"/>
  <c r="V282" i="2"/>
  <c r="W282" i="2"/>
  <c r="N282" i="2"/>
  <c r="K282" i="2"/>
  <c r="Y271" i="2"/>
  <c r="N271" i="2"/>
  <c r="K271" i="2"/>
  <c r="R271" i="2"/>
  <c r="O271" i="2"/>
  <c r="P271" i="2"/>
  <c r="J271" i="2"/>
  <c r="U271" i="2"/>
  <c r="Q271" i="2"/>
  <c r="T271" i="2"/>
  <c r="V271" i="2"/>
  <c r="S271" i="2"/>
  <c r="W271" i="2"/>
  <c r="X271" i="2"/>
  <c r="R276" i="2"/>
  <c r="S276" i="2"/>
  <c r="N276" i="2"/>
  <c r="O276" i="2"/>
  <c r="P276" i="2"/>
  <c r="Q276" i="2"/>
  <c r="Y276" i="2"/>
  <c r="T276" i="2"/>
  <c r="U276" i="2"/>
  <c r="V276" i="2"/>
  <c r="W276" i="2"/>
  <c r="X276" i="2"/>
  <c r="K276" i="2"/>
  <c r="J276" i="2"/>
  <c r="N291" i="2"/>
  <c r="O291" i="2"/>
  <c r="K291" i="2"/>
  <c r="P291" i="2"/>
  <c r="W291" i="2"/>
  <c r="S291" i="2"/>
  <c r="U291" i="2"/>
  <c r="Y291" i="2"/>
  <c r="V291" i="2"/>
  <c r="X291" i="2"/>
  <c r="J291" i="2"/>
  <c r="Q291" i="2"/>
  <c r="R291" i="2"/>
  <c r="T291" i="2"/>
  <c r="N313" i="2"/>
  <c r="O313" i="2"/>
  <c r="Q313" i="2"/>
  <c r="K313" i="2"/>
  <c r="P313" i="2"/>
  <c r="S313" i="2"/>
  <c r="T313" i="2"/>
  <c r="J313" i="2"/>
  <c r="R313" i="2"/>
  <c r="U313" i="2"/>
  <c r="V313" i="2"/>
  <c r="W313" i="2"/>
  <c r="X313" i="2"/>
  <c r="Y313" i="2"/>
  <c r="J273" i="2"/>
  <c r="Y273" i="2"/>
  <c r="K273" i="2"/>
  <c r="N273" i="2"/>
  <c r="Q273" i="2"/>
  <c r="R273" i="2"/>
  <c r="T273" i="2"/>
  <c r="U273" i="2"/>
  <c r="V273" i="2"/>
  <c r="W273" i="2"/>
  <c r="X273" i="2"/>
  <c r="O273" i="2"/>
  <c r="P273" i="2"/>
  <c r="S273" i="2"/>
  <c r="X270" i="2"/>
  <c r="Y270" i="2"/>
  <c r="W270" i="2"/>
  <c r="N270" i="2"/>
  <c r="O270" i="2"/>
  <c r="P270" i="2"/>
  <c r="Q270" i="2"/>
  <c r="R270" i="2"/>
  <c r="S270" i="2"/>
  <c r="T270" i="2"/>
  <c r="K270" i="2"/>
  <c r="U270" i="2"/>
  <c r="V270" i="2"/>
  <c r="J270" i="2"/>
  <c r="T285" i="2"/>
  <c r="U285" i="2"/>
  <c r="K285" i="2"/>
  <c r="N285" i="2"/>
  <c r="J285" i="2"/>
  <c r="Q285" i="2"/>
  <c r="P285" i="2"/>
  <c r="R285" i="2"/>
  <c r="S285" i="2"/>
  <c r="O285" i="2"/>
  <c r="V285" i="2"/>
  <c r="W285" i="2"/>
  <c r="X285" i="2"/>
  <c r="Y285" i="2"/>
  <c r="T263" i="2"/>
  <c r="U263" i="2"/>
  <c r="Y263" i="2"/>
  <c r="K263" i="2"/>
  <c r="J263" i="2"/>
  <c r="N263" i="2"/>
  <c r="O263" i="2"/>
  <c r="P263" i="2"/>
  <c r="Q263" i="2"/>
  <c r="W263" i="2"/>
  <c r="X263" i="2"/>
  <c r="R263" i="2"/>
  <c r="S263" i="2"/>
  <c r="V263" i="2"/>
  <c r="N260" i="2"/>
  <c r="X260" i="2"/>
  <c r="O260" i="2"/>
  <c r="P260" i="2"/>
  <c r="W260" i="2"/>
  <c r="Q260" i="2"/>
  <c r="V260" i="2"/>
  <c r="R260" i="2"/>
  <c r="S260" i="2"/>
  <c r="J260" i="2"/>
  <c r="T260" i="2"/>
  <c r="U260" i="2"/>
  <c r="K260" i="2"/>
  <c r="Y260" i="2"/>
  <c r="Y275" i="2"/>
  <c r="N275" i="2"/>
  <c r="P275" i="2"/>
  <c r="V275" i="2"/>
  <c r="W275" i="2"/>
  <c r="Q275" i="2"/>
  <c r="R275" i="2"/>
  <c r="T275" i="2"/>
  <c r="U275" i="2"/>
  <c r="J275" i="2"/>
  <c r="X275" i="2"/>
  <c r="S275" i="2"/>
  <c r="K275" i="2"/>
  <c r="O275" i="2"/>
  <c r="W257" i="2"/>
  <c r="X257" i="2"/>
  <c r="Y257" i="2"/>
  <c r="J257" i="2"/>
  <c r="Q257" i="2"/>
  <c r="R257" i="2"/>
  <c r="N257" i="2"/>
  <c r="S257" i="2"/>
  <c r="T257" i="2"/>
  <c r="U257" i="2"/>
  <c r="V257" i="2"/>
  <c r="P257" i="2"/>
  <c r="K257" i="2"/>
  <c r="O257" i="2"/>
  <c r="O288" i="2"/>
  <c r="P288" i="2"/>
  <c r="K288" i="2"/>
  <c r="X288" i="2"/>
  <c r="Q288" i="2"/>
  <c r="R288" i="2"/>
  <c r="S288" i="2"/>
  <c r="T288" i="2"/>
  <c r="U288" i="2"/>
  <c r="V288" i="2"/>
  <c r="Y288" i="2"/>
  <c r="W288" i="2"/>
  <c r="N288" i="2"/>
  <c r="J288" i="2"/>
  <c r="Q306" i="2"/>
  <c r="R306" i="2"/>
  <c r="S306" i="2"/>
  <c r="X306" i="2"/>
  <c r="T306" i="2"/>
  <c r="U306" i="2"/>
  <c r="V306" i="2"/>
  <c r="W306" i="2"/>
  <c r="J306" i="2"/>
  <c r="Y306" i="2"/>
  <c r="P306" i="2"/>
  <c r="N306" i="2"/>
  <c r="O306" i="2"/>
  <c r="K306" i="2"/>
  <c r="X314" i="2"/>
  <c r="Y314" i="2"/>
  <c r="Q314" i="2"/>
  <c r="R314" i="2"/>
  <c r="S314" i="2"/>
  <c r="T314" i="2"/>
  <c r="U314" i="2"/>
  <c r="K314" i="2"/>
  <c r="V314" i="2"/>
  <c r="W314" i="2"/>
  <c r="N314" i="2"/>
  <c r="O314" i="2"/>
  <c r="P314" i="2"/>
  <c r="J314" i="2"/>
  <c r="W249" i="2"/>
  <c r="X249" i="2"/>
  <c r="Y249" i="2"/>
  <c r="K249" i="2"/>
  <c r="T249" i="2"/>
  <c r="U249" i="2"/>
  <c r="V249" i="2"/>
  <c r="N249" i="2"/>
  <c r="O249" i="2"/>
  <c r="Q249" i="2"/>
  <c r="S249" i="2"/>
  <c r="P249" i="2"/>
  <c r="J249" i="2"/>
  <c r="R249" i="2"/>
  <c r="X281" i="2"/>
  <c r="Y281" i="2"/>
  <c r="N281" i="2"/>
  <c r="J281" i="2"/>
  <c r="P281" i="2"/>
  <c r="Q281" i="2"/>
  <c r="O281" i="2"/>
  <c r="K281" i="2"/>
  <c r="V281" i="2"/>
  <c r="W281" i="2"/>
  <c r="U281" i="2"/>
  <c r="R281" i="2"/>
  <c r="S281" i="2"/>
  <c r="T281" i="2"/>
  <c r="T274" i="2"/>
  <c r="U274" i="2"/>
  <c r="N274" i="2"/>
  <c r="O274" i="2"/>
  <c r="P274" i="2"/>
  <c r="Y274" i="2"/>
  <c r="Q274" i="2"/>
  <c r="R274" i="2"/>
  <c r="S274" i="2"/>
  <c r="V274" i="2"/>
  <c r="W274" i="2"/>
  <c r="X274" i="2"/>
  <c r="K274" i="2"/>
  <c r="J274" i="2"/>
  <c r="R298" i="2"/>
  <c r="S298" i="2"/>
  <c r="O298" i="2"/>
  <c r="P298" i="2"/>
  <c r="Q298" i="2"/>
  <c r="T298" i="2"/>
  <c r="U298" i="2"/>
  <c r="V298" i="2"/>
  <c r="W298" i="2"/>
  <c r="X298" i="2"/>
  <c r="Y298" i="2"/>
  <c r="N298" i="2"/>
  <c r="J298" i="2"/>
  <c r="K298" i="2"/>
  <c r="O299" i="2"/>
  <c r="P299" i="2"/>
  <c r="N299" i="2"/>
  <c r="Q299" i="2"/>
  <c r="W299" i="2"/>
  <c r="J299" i="2"/>
  <c r="K299" i="2"/>
  <c r="X299" i="2"/>
  <c r="Y299" i="2"/>
  <c r="V299" i="2"/>
  <c r="U299" i="2"/>
  <c r="R299" i="2"/>
  <c r="S299" i="2"/>
  <c r="T299" i="2"/>
  <c r="P267" i="2"/>
  <c r="Q267" i="2"/>
  <c r="Y267" i="2"/>
  <c r="K267" i="2"/>
  <c r="N267" i="2"/>
  <c r="U267" i="2"/>
  <c r="O267" i="2"/>
  <c r="R267" i="2"/>
  <c r="S267" i="2"/>
  <c r="T267" i="2"/>
  <c r="J267" i="2"/>
  <c r="V267" i="2"/>
  <c r="W267" i="2"/>
  <c r="X267" i="2"/>
  <c r="P293" i="2"/>
  <c r="O293" i="2"/>
  <c r="K293" i="2"/>
  <c r="N293" i="2"/>
  <c r="V293" i="2"/>
  <c r="X293" i="2"/>
  <c r="Q293" i="2"/>
  <c r="R293" i="2"/>
  <c r="T293" i="2"/>
  <c r="W293" i="2"/>
  <c r="Y293" i="2"/>
  <c r="S293" i="2"/>
  <c r="U293" i="2"/>
  <c r="J293" i="2"/>
  <c r="M299" i="2"/>
  <c r="L299" i="2"/>
  <c r="L300" i="2"/>
  <c r="M300" i="2"/>
  <c r="L313" i="2"/>
  <c r="M313" i="2"/>
  <c r="M311" i="2"/>
  <c r="L311" i="2"/>
  <c r="C415" i="2" s="1" a="1"/>
  <c r="C415" i="2" s="1"/>
  <c r="B415" i="2" s="1"/>
  <c r="L303" i="2"/>
  <c r="M303" i="2"/>
  <c r="M310" i="2"/>
  <c r="L310" i="2"/>
  <c r="C414" i="2" s="1" a="1"/>
  <c r="C414" i="2" s="1"/>
  <c r="B414" i="2" s="1"/>
  <c r="M301" i="2"/>
  <c r="L301" i="2"/>
  <c r="L306" i="2"/>
  <c r="M306" i="2"/>
  <c r="L305" i="2"/>
  <c r="M305" i="2"/>
  <c r="L314" i="2"/>
  <c r="M314" i="2"/>
  <c r="L315" i="2"/>
  <c r="M315" i="2"/>
  <c r="L309" i="2"/>
  <c r="M309" i="2"/>
  <c r="L307" i="2"/>
  <c r="M307" i="2"/>
  <c r="M308" i="2"/>
  <c r="L308" i="2"/>
  <c r="L304" i="2"/>
  <c r="M304" i="2"/>
  <c r="L302" i="2"/>
  <c r="M302" i="2"/>
  <c r="M312" i="2"/>
  <c r="L312" i="2"/>
  <c r="M298" i="2"/>
  <c r="L298" i="2"/>
  <c r="L297" i="2"/>
  <c r="M297" i="2"/>
  <c r="M295" i="2"/>
  <c r="L295" i="2"/>
  <c r="M296" i="2"/>
  <c r="L296" i="2"/>
  <c r="L286" i="2"/>
  <c r="M286" i="2"/>
  <c r="L289" i="2"/>
  <c r="M289" i="2"/>
  <c r="L283" i="2"/>
  <c r="M283" i="2"/>
  <c r="M290" i="2"/>
  <c r="L290" i="2"/>
  <c r="L293" i="2"/>
  <c r="M293" i="2"/>
  <c r="L285" i="2"/>
  <c r="M285" i="2"/>
  <c r="L282" i="2"/>
  <c r="M282" i="2"/>
  <c r="M288" i="2"/>
  <c r="L288" i="2"/>
  <c r="L284" i="2"/>
  <c r="M284" i="2"/>
  <c r="L287" i="2"/>
  <c r="M287" i="2"/>
  <c r="L292" i="2"/>
  <c r="M292" i="2"/>
  <c r="L281" i="2"/>
  <c r="M281" i="2"/>
  <c r="L294" i="2"/>
  <c r="M294" i="2"/>
  <c r="L291" i="2"/>
  <c r="M291" i="2"/>
  <c r="L261" i="2"/>
  <c r="M261" i="2"/>
  <c r="M266" i="2"/>
  <c r="L266" i="2"/>
  <c r="M279" i="2"/>
  <c r="L279" i="2"/>
  <c r="L267" i="2"/>
  <c r="M267" i="2"/>
  <c r="L259" i="2"/>
  <c r="M259" i="2"/>
  <c r="L264" i="2"/>
  <c r="M264" i="2"/>
  <c r="L247" i="2"/>
  <c r="C351" i="2" s="1" a="1"/>
  <c r="C351" i="2" s="1"/>
  <c r="M247" i="2"/>
  <c r="M253" i="2"/>
  <c r="L253" i="2"/>
  <c r="M271" i="2"/>
  <c r="L271" i="2"/>
  <c r="L276" i="2"/>
  <c r="M276" i="2"/>
  <c r="M273" i="2"/>
  <c r="L273" i="2"/>
  <c r="M268" i="2"/>
  <c r="L268" i="2"/>
  <c r="L270" i="2"/>
  <c r="M270" i="2"/>
  <c r="L263" i="2"/>
  <c r="M263" i="2"/>
  <c r="L256" i="2"/>
  <c r="M256" i="2"/>
  <c r="L260" i="2"/>
  <c r="M260" i="2"/>
  <c r="L252" i="2"/>
  <c r="M252" i="2"/>
  <c r="L275" i="2"/>
  <c r="M275" i="2"/>
  <c r="M257" i="2"/>
  <c r="L257" i="2"/>
  <c r="L249" i="2"/>
  <c r="C353" i="2" s="1" a="1"/>
  <c r="C353" i="2" s="1"/>
  <c r="M249" i="2"/>
  <c r="L262" i="2"/>
  <c r="M262" i="2"/>
  <c r="M274" i="2"/>
  <c r="L274" i="2"/>
  <c r="L278" i="2"/>
  <c r="C382" i="2" s="1" a="1"/>
  <c r="C382" i="2" s="1"/>
  <c r="B382" i="2" s="1"/>
  <c r="M278" i="2"/>
  <c r="L269" i="2"/>
  <c r="M269" i="2"/>
  <c r="L250" i="2"/>
  <c r="C354" i="2" s="1" a="1"/>
  <c r="C354" i="2" s="1"/>
  <c r="M250" i="2"/>
  <c r="L272" i="2"/>
  <c r="M272" i="2"/>
  <c r="L255" i="2"/>
  <c r="M255" i="2"/>
  <c r="L248" i="2"/>
  <c r="M248" i="2"/>
  <c r="L265" i="2"/>
  <c r="M265" i="2"/>
  <c r="L254" i="2"/>
  <c r="M254" i="2"/>
  <c r="L258" i="2"/>
  <c r="C362" i="2" s="1" a="1"/>
  <c r="C362" i="2" s="1"/>
  <c r="B362" i="2" s="1"/>
  <c r="M258" i="2"/>
  <c r="M251" i="2"/>
  <c r="L251" i="2"/>
  <c r="L277" i="2"/>
  <c r="M277" i="2"/>
  <c r="L280" i="2"/>
  <c r="M280" i="2"/>
  <c r="C10" i="2"/>
  <c r="E11" i="12"/>
  <c r="I11" i="12" s="1"/>
  <c r="J44" i="2"/>
  <c r="J63" i="2" s="1"/>
  <c r="I44" i="2"/>
  <c r="H44" i="2"/>
  <c r="H55" i="2" s="1"/>
  <c r="C46" i="2"/>
  <c r="D46" i="2"/>
  <c r="E46" i="2"/>
  <c r="C47" i="2"/>
  <c r="D47" i="2"/>
  <c r="E47" i="2"/>
  <c r="C48" i="2"/>
  <c r="D48" i="2"/>
  <c r="E48" i="2"/>
  <c r="C49" i="2"/>
  <c r="D49" i="2"/>
  <c r="E49" i="2"/>
  <c r="C50" i="2"/>
  <c r="D50" i="2"/>
  <c r="E50" i="2"/>
  <c r="C51" i="2"/>
  <c r="D51" i="2"/>
  <c r="E51" i="2"/>
  <c r="C52" i="2"/>
  <c r="D52" i="2"/>
  <c r="E52" i="2"/>
  <c r="C53" i="2"/>
  <c r="D53" i="2"/>
  <c r="E53" i="2"/>
  <c r="C54" i="2"/>
  <c r="D54" i="2"/>
  <c r="E54" i="2"/>
  <c r="C55" i="2"/>
  <c r="D55" i="2"/>
  <c r="E55" i="2"/>
  <c r="C56" i="2"/>
  <c r="D56" i="2"/>
  <c r="E56" i="2"/>
  <c r="C57" i="2"/>
  <c r="D57" i="2"/>
  <c r="E57" i="2"/>
  <c r="C58" i="2"/>
  <c r="D58" i="2"/>
  <c r="E58" i="2"/>
  <c r="C59" i="2"/>
  <c r="D59" i="2"/>
  <c r="E59" i="2"/>
  <c r="C60" i="2"/>
  <c r="D60" i="2"/>
  <c r="E60" i="2"/>
  <c r="C61" i="2"/>
  <c r="D61" i="2"/>
  <c r="E61" i="2"/>
  <c r="C62" i="2"/>
  <c r="D62" i="2"/>
  <c r="E62" i="2"/>
  <c r="C63" i="2"/>
  <c r="D63" i="2"/>
  <c r="E63" i="2"/>
  <c r="C64" i="2"/>
  <c r="D64" i="2"/>
  <c r="E64" i="2"/>
  <c r="C65" i="2"/>
  <c r="D65" i="2"/>
  <c r="E65" i="2"/>
  <c r="D45" i="2"/>
  <c r="E45" i="2"/>
  <c r="C45" i="2"/>
  <c r="H195" i="2"/>
  <c r="H196" i="2"/>
  <c r="H197" i="2"/>
  <c r="H198" i="2"/>
  <c r="H199" i="2"/>
  <c r="H200" i="2"/>
  <c r="H201" i="2"/>
  <c r="H202" i="2"/>
  <c r="H203" i="2"/>
  <c r="H204" i="2"/>
  <c r="H205" i="2"/>
  <c r="E195" i="2"/>
  <c r="E196" i="2"/>
  <c r="E197" i="2"/>
  <c r="E198" i="2"/>
  <c r="E199" i="2"/>
  <c r="E200" i="2"/>
  <c r="E201" i="2"/>
  <c r="E202" i="2"/>
  <c r="E203" i="2"/>
  <c r="E204" i="2"/>
  <c r="E205" i="2"/>
  <c r="B195" i="2"/>
  <c r="C195" i="2" s="1"/>
  <c r="B196" i="2"/>
  <c r="C196" i="2" s="1"/>
  <c r="B197" i="2"/>
  <c r="C197" i="2" s="1"/>
  <c r="B198" i="2"/>
  <c r="C198" i="2" s="1"/>
  <c r="B199" i="2"/>
  <c r="C199" i="2" s="1"/>
  <c r="B200" i="2"/>
  <c r="C200" i="2" s="1"/>
  <c r="B201" i="2"/>
  <c r="C201" i="2" s="1"/>
  <c r="B202" i="2"/>
  <c r="C202" i="2" s="1"/>
  <c r="B203" i="2"/>
  <c r="C203" i="2" s="1"/>
  <c r="B204" i="2"/>
  <c r="C204" i="2" s="1"/>
  <c r="B205" i="2"/>
  <c r="C205" i="2" s="1"/>
  <c r="D90" i="2"/>
  <c r="C91" i="2"/>
  <c r="C92" i="2"/>
  <c r="C93" i="2"/>
  <c r="C94" i="2"/>
  <c r="C95" i="2"/>
  <c r="C96" i="2"/>
  <c r="C97" i="2"/>
  <c r="C98" i="2"/>
  <c r="C99" i="2"/>
  <c r="E99" i="2" s="1"/>
  <c r="C100" i="2"/>
  <c r="E100" i="2" s="1"/>
  <c r="C101" i="2"/>
  <c r="C102" i="2"/>
  <c r="E102" i="2" s="1"/>
  <c r="C103" i="2"/>
  <c r="C104" i="2"/>
  <c r="E104" i="2" s="1"/>
  <c r="C105" i="2"/>
  <c r="E105" i="2" s="1"/>
  <c r="D91" i="2"/>
  <c r="D92" i="2"/>
  <c r="D93" i="2"/>
  <c r="C90" i="2"/>
  <c r="D108" i="2"/>
  <c r="B354" i="2" l="1"/>
  <c r="K354" i="2" s="1"/>
  <c r="B353" i="2"/>
  <c r="K353" i="2" s="1"/>
  <c r="B351" i="2"/>
  <c r="K351" i="2" s="1"/>
  <c r="E362" i="2"/>
  <c r="K362" i="2"/>
  <c r="E415" i="2"/>
  <c r="E425" i="2"/>
  <c r="E420" i="2"/>
  <c r="E424" i="2"/>
  <c r="E421" i="2"/>
  <c r="E382" i="2"/>
  <c r="E422" i="2"/>
  <c r="E423" i="2"/>
  <c r="E414" i="2"/>
  <c r="C410" i="2" a="1"/>
  <c r="C410" i="2" s="1"/>
  <c r="B410" i="2" s="1"/>
  <c r="C394" i="2" a="1"/>
  <c r="C394" i="2" s="1"/>
  <c r="B394" i="2" s="1"/>
  <c r="C368" i="2" a="1"/>
  <c r="C368" i="2" s="1"/>
  <c r="B368" i="2" s="1"/>
  <c r="C378" i="2" a="1"/>
  <c r="C378" i="2" s="1"/>
  <c r="B378" i="2" s="1"/>
  <c r="C352" i="2" a="1"/>
  <c r="C352" i="2" s="1"/>
  <c r="B352" i="2" s="1"/>
  <c r="C355" i="2" a="1"/>
  <c r="C355" i="2" s="1"/>
  <c r="B355" i="2" s="1"/>
  <c r="I60" i="2"/>
  <c r="I45" i="2"/>
  <c r="C403" i="2" a="1"/>
  <c r="C403" i="2" s="1"/>
  <c r="B403" i="2" s="1"/>
  <c r="C405" i="2" a="1"/>
  <c r="C405" i="2" s="1"/>
  <c r="B405" i="2" s="1"/>
  <c r="C419" i="2" a="1"/>
  <c r="C419" i="2" s="1"/>
  <c r="B419" i="2" s="1"/>
  <c r="C384" i="2" a="1"/>
  <c r="C384" i="2" s="1"/>
  <c r="B384" i="2" s="1"/>
  <c r="C388" i="2" a="1"/>
  <c r="C388" i="2" s="1"/>
  <c r="B388" i="2" s="1"/>
  <c r="C396" i="2" a="1"/>
  <c r="C396" i="2" s="1"/>
  <c r="B396" i="2" s="1"/>
  <c r="C416" i="2" a="1"/>
  <c r="C416" i="2" s="1"/>
  <c r="B416" i="2" s="1"/>
  <c r="C386" i="2" a="1"/>
  <c r="C386" i="2" s="1"/>
  <c r="B386" i="2" s="1"/>
  <c r="C412" i="2" a="1"/>
  <c r="C412" i="2" s="1"/>
  <c r="B412" i="2" s="1"/>
  <c r="C361" i="2" a="1"/>
  <c r="C361" i="2" s="1"/>
  <c r="B361" i="2" s="1"/>
  <c r="C418" i="2" a="1"/>
  <c r="C418" i="2" s="1"/>
  <c r="B418" i="2" s="1"/>
  <c r="C389" i="2" a="1"/>
  <c r="C389" i="2" s="1"/>
  <c r="B389" i="2" s="1"/>
  <c r="C393" i="2" a="1"/>
  <c r="C393" i="2" s="1"/>
  <c r="B393" i="2" s="1"/>
  <c r="C395" i="2" a="1"/>
  <c r="C395" i="2" s="1"/>
  <c r="B395" i="2" s="1"/>
  <c r="C411" i="2" a="1"/>
  <c r="C411" i="2" s="1"/>
  <c r="B411" i="2" s="1"/>
  <c r="C399" i="2" a="1"/>
  <c r="C399" i="2" s="1"/>
  <c r="B399" i="2" s="1"/>
  <c r="C369" i="2" a="1"/>
  <c r="C369" i="2" s="1"/>
  <c r="B369" i="2" s="1"/>
  <c r="E351" i="2"/>
  <c r="C356" i="2" a="1"/>
  <c r="C356" i="2" s="1"/>
  <c r="B356" i="2" s="1"/>
  <c r="C367" i="2" a="1"/>
  <c r="C367" i="2" s="1"/>
  <c r="B367" i="2" s="1"/>
  <c r="C372" i="2" a="1"/>
  <c r="C372" i="2" s="1"/>
  <c r="B372" i="2" s="1"/>
  <c r="C365" i="2" a="1"/>
  <c r="C365" i="2" s="1"/>
  <c r="B365" i="2" s="1"/>
  <c r="C377" i="2" a="1"/>
  <c r="C377" i="2" s="1"/>
  <c r="B377" i="2" s="1"/>
  <c r="C366" i="2" a="1"/>
  <c r="C366" i="2" s="1"/>
  <c r="B366" i="2" s="1"/>
  <c r="C380" i="2" a="1"/>
  <c r="C380" i="2" s="1"/>
  <c r="B380" i="2" s="1"/>
  <c r="E353" i="2"/>
  <c r="C381" i="2" a="1"/>
  <c r="C381" i="2" s="1"/>
  <c r="B381" i="2" s="1"/>
  <c r="C358" i="2" a="1"/>
  <c r="C358" i="2" s="1"/>
  <c r="B358" i="2" s="1"/>
  <c r="C390" i="2" a="1"/>
  <c r="C390" i="2" s="1"/>
  <c r="B390" i="2" s="1"/>
  <c r="C413" i="2" a="1"/>
  <c r="C413" i="2" s="1"/>
  <c r="B413" i="2" s="1"/>
  <c r="C359" i="2" a="1"/>
  <c r="C359" i="2" s="1"/>
  <c r="B359" i="2" s="1"/>
  <c r="C364" i="2" a="1"/>
  <c r="C364" i="2" s="1"/>
  <c r="B364" i="2" s="1"/>
  <c r="C363" i="2" a="1"/>
  <c r="C363" i="2" s="1"/>
  <c r="B363" i="2" s="1"/>
  <c r="C387" i="2" a="1"/>
  <c r="C387" i="2" s="1"/>
  <c r="B387" i="2" s="1"/>
  <c r="C402" i="2" a="1"/>
  <c r="C402" i="2" s="1"/>
  <c r="B402" i="2" s="1"/>
  <c r="C401" i="2" a="1"/>
  <c r="C401" i="2" s="1"/>
  <c r="B401" i="2" s="1"/>
  <c r="C376" i="2" a="1"/>
  <c r="C376" i="2" s="1"/>
  <c r="B376" i="2" s="1"/>
  <c r="C360" i="2" a="1"/>
  <c r="C360" i="2" s="1"/>
  <c r="B360" i="2" s="1"/>
  <c r="C371" i="2" a="1"/>
  <c r="C371" i="2" s="1"/>
  <c r="B371" i="2" s="1"/>
  <c r="C391" i="2" a="1"/>
  <c r="C391" i="2" s="1"/>
  <c r="B391" i="2" s="1"/>
  <c r="C383" i="2" a="1"/>
  <c r="C383" i="2" s="1"/>
  <c r="B383" i="2" s="1"/>
  <c r="C398" i="2" a="1"/>
  <c r="C398" i="2" s="1"/>
  <c r="B398" i="2" s="1"/>
  <c r="C375" i="2" a="1"/>
  <c r="C375" i="2" s="1"/>
  <c r="B375" i="2" s="1"/>
  <c r="C407" i="2" a="1"/>
  <c r="C407" i="2" s="1"/>
  <c r="B407" i="2" s="1"/>
  <c r="C409" i="2" a="1"/>
  <c r="C409" i="2" s="1"/>
  <c r="B409" i="2" s="1"/>
  <c r="C400" i="2" a="1"/>
  <c r="C400" i="2" s="1"/>
  <c r="B400" i="2" s="1"/>
  <c r="C406" i="2" a="1"/>
  <c r="C406" i="2" s="1"/>
  <c r="B406" i="2" s="1"/>
  <c r="C370" i="2" a="1"/>
  <c r="C370" i="2" s="1"/>
  <c r="B370" i="2" s="1"/>
  <c r="C417" i="2" a="1"/>
  <c r="C417" i="2" s="1"/>
  <c r="B417" i="2" s="1"/>
  <c r="C357" i="2" a="1"/>
  <c r="C357" i="2" s="1"/>
  <c r="B357" i="2" s="1"/>
  <c r="C379" i="2" a="1"/>
  <c r="C379" i="2" s="1"/>
  <c r="B379" i="2" s="1"/>
  <c r="C397" i="2" a="1"/>
  <c r="C397" i="2" s="1"/>
  <c r="B397" i="2" s="1"/>
  <c r="E354" i="2"/>
  <c r="C392" i="2" a="1"/>
  <c r="C392" i="2" s="1"/>
  <c r="B392" i="2" s="1"/>
  <c r="C373" i="2" a="1"/>
  <c r="C373" i="2" s="1"/>
  <c r="B373" i="2" s="1"/>
  <c r="C374" i="2" a="1"/>
  <c r="C374" i="2" s="1"/>
  <c r="B374" i="2" s="1"/>
  <c r="C385" i="2" a="1"/>
  <c r="C385" i="2" s="1"/>
  <c r="B385" i="2" s="1"/>
  <c r="C408" i="2" a="1"/>
  <c r="C408" i="2" s="1"/>
  <c r="B408" i="2" s="1"/>
  <c r="C404" i="2" a="1"/>
  <c r="C404" i="2" s="1"/>
  <c r="B404" i="2" s="1"/>
  <c r="C112" i="2"/>
  <c r="J48" i="2"/>
  <c r="J47" i="2"/>
  <c r="J46" i="2"/>
  <c r="H48" i="2"/>
  <c r="H47" i="2"/>
  <c r="J50" i="2"/>
  <c r="H50" i="2"/>
  <c r="J49" i="2"/>
  <c r="H49" i="2"/>
  <c r="D20" i="2"/>
  <c r="C36" i="2" s="1"/>
  <c r="C20" i="2"/>
  <c r="C35" i="2" s="1"/>
  <c r="D19" i="2"/>
  <c r="C32" i="2" s="1"/>
  <c r="C19" i="2"/>
  <c r="C31" i="2" s="1"/>
  <c r="F18" i="2"/>
  <c r="C30" i="2" s="1"/>
  <c r="E17" i="2"/>
  <c r="C25" i="2" s="1"/>
  <c r="F17" i="2"/>
  <c r="C26" i="2" s="1"/>
  <c r="E18" i="2"/>
  <c r="C29" i="2" s="1"/>
  <c r="H62" i="2"/>
  <c r="J61" i="2"/>
  <c r="H61" i="2"/>
  <c r="J60" i="2"/>
  <c r="H63" i="2"/>
  <c r="H60" i="2"/>
  <c r="J62" i="2"/>
  <c r="J59" i="2"/>
  <c r="H59" i="2"/>
  <c r="J58" i="2"/>
  <c r="J54" i="2"/>
  <c r="H53" i="2"/>
  <c r="H65" i="2"/>
  <c r="J52" i="2"/>
  <c r="J64" i="2"/>
  <c r="H52" i="2"/>
  <c r="H58" i="2"/>
  <c r="J57" i="2"/>
  <c r="J56" i="2"/>
  <c r="J55" i="2"/>
  <c r="H54" i="2"/>
  <c r="J45" i="2"/>
  <c r="J53" i="2"/>
  <c r="J65" i="2"/>
  <c r="H64" i="2"/>
  <c r="J51" i="2"/>
  <c r="H51" i="2"/>
  <c r="H57" i="2"/>
  <c r="H46" i="2"/>
  <c r="H45" i="2"/>
  <c r="H56" i="2"/>
  <c r="I52" i="2"/>
  <c r="I59" i="2"/>
  <c r="I51" i="2"/>
  <c r="I58" i="2"/>
  <c r="I65" i="2"/>
  <c r="I50" i="2"/>
  <c r="I57" i="2"/>
  <c r="I64" i="2"/>
  <c r="I49" i="2"/>
  <c r="I56" i="2"/>
  <c r="I63" i="2"/>
  <c r="I48" i="2"/>
  <c r="I55" i="2"/>
  <c r="I62" i="2"/>
  <c r="I47" i="2"/>
  <c r="I54" i="2"/>
  <c r="I61" i="2"/>
  <c r="I46" i="2"/>
  <c r="I53" i="2"/>
  <c r="H114" i="2"/>
  <c r="H121" i="2"/>
  <c r="H113" i="2"/>
  <c r="H117" i="2"/>
  <c r="H127" i="2"/>
  <c r="H126" i="2"/>
  <c r="H125" i="2"/>
  <c r="H124" i="2"/>
  <c r="H123" i="2"/>
  <c r="H122" i="2"/>
  <c r="H120" i="2"/>
  <c r="H119" i="2"/>
  <c r="H118" i="2"/>
  <c r="H116" i="2"/>
  <c r="H115" i="2"/>
  <c r="F112" i="2"/>
  <c r="D112" i="2"/>
  <c r="E112" i="2"/>
  <c r="G112" i="2"/>
  <c r="H112" i="2"/>
  <c r="F90" i="2" a="1"/>
  <c r="E98" i="2"/>
  <c r="E103" i="2"/>
  <c r="E97" i="2"/>
  <c r="E96" i="2"/>
  <c r="E101" i="2"/>
  <c r="E124" i="2"/>
  <c r="C120" i="2"/>
  <c r="G126" i="2"/>
  <c r="G123" i="2"/>
  <c r="G119" i="2"/>
  <c r="E117" i="2"/>
  <c r="G116" i="2"/>
  <c r="E113" i="2"/>
  <c r="C121" i="2"/>
  <c r="E120" i="2"/>
  <c r="D113" i="2"/>
  <c r="C114" i="2"/>
  <c r="C119" i="2"/>
  <c r="E126" i="2"/>
  <c r="F123" i="2"/>
  <c r="F119" i="2"/>
  <c r="D117" i="2"/>
  <c r="D120" i="2"/>
  <c r="D127" i="2"/>
  <c r="F117" i="2"/>
  <c r="D122" i="2"/>
  <c r="C117" i="2"/>
  <c r="G125" i="2"/>
  <c r="E123" i="2"/>
  <c r="E119" i="2"/>
  <c r="F116" i="2"/>
  <c r="F125" i="2"/>
  <c r="C115" i="2"/>
  <c r="D123" i="2"/>
  <c r="D119" i="2"/>
  <c r="G115" i="2"/>
  <c r="D126" i="2"/>
  <c r="D118" i="2"/>
  <c r="C127" i="2"/>
  <c r="G127" i="2"/>
  <c r="E125" i="2"/>
  <c r="G121" i="2"/>
  <c r="G118" i="2"/>
  <c r="F115" i="2"/>
  <c r="F127" i="2"/>
  <c r="C125" i="2"/>
  <c r="D125" i="2"/>
  <c r="F121" i="2"/>
  <c r="E118" i="2"/>
  <c r="E115" i="2"/>
  <c r="D124" i="2"/>
  <c r="C123" i="2"/>
  <c r="E127" i="2"/>
  <c r="G124" i="2"/>
  <c r="G120" i="2"/>
  <c r="G117" i="2"/>
  <c r="D115" i="2"/>
  <c r="E121" i="2"/>
  <c r="F114" i="2"/>
  <c r="C126" i="2"/>
  <c r="C118" i="2"/>
  <c r="D121" i="2"/>
  <c r="E114" i="2"/>
  <c r="G122" i="2"/>
  <c r="D114" i="2"/>
  <c r="C124" i="2"/>
  <c r="F126" i="2"/>
  <c r="F124" i="2"/>
  <c r="F122" i="2"/>
  <c r="F120" i="2"/>
  <c r="F118" i="2"/>
  <c r="G113" i="2"/>
  <c r="G114" i="2"/>
  <c r="E122" i="2"/>
  <c r="F113" i="2"/>
  <c r="C122" i="2"/>
  <c r="C113" i="2"/>
  <c r="E116" i="2"/>
  <c r="D116" i="2"/>
  <c r="C116" i="2"/>
  <c r="F456" i="2" l="1"/>
  <c r="E456" i="2"/>
  <c r="C456" i="2"/>
  <c r="D456" i="2"/>
  <c r="G456" i="2"/>
  <c r="G454" i="2"/>
  <c r="D454" i="2"/>
  <c r="F454" i="2"/>
  <c r="C454" i="2"/>
  <c r="E454" i="2"/>
  <c r="D457" i="2"/>
  <c r="C457" i="2"/>
  <c r="F457" i="2"/>
  <c r="G457" i="2"/>
  <c r="E457" i="2"/>
  <c r="E409" i="2"/>
  <c r="E375" i="2"/>
  <c r="E367" i="2"/>
  <c r="E356" i="2"/>
  <c r="K356" i="2"/>
  <c r="E378" i="2"/>
  <c r="E371" i="2"/>
  <c r="E360" i="2"/>
  <c r="K360" i="2"/>
  <c r="E394" i="2"/>
  <c r="E408" i="2"/>
  <c r="E372" i="2"/>
  <c r="E365" i="2"/>
  <c r="E355" i="2"/>
  <c r="K355" i="2"/>
  <c r="E391" i="2"/>
  <c r="E404" i="2"/>
  <c r="E407" i="2"/>
  <c r="E383" i="2"/>
  <c r="E368" i="2"/>
  <c r="E410" i="2"/>
  <c r="E401" i="2"/>
  <c r="E402" i="2"/>
  <c r="E374" i="2"/>
  <c r="E364" i="2"/>
  <c r="E397" i="2"/>
  <c r="E377" i="2"/>
  <c r="E352" i="2"/>
  <c r="K352" i="2"/>
  <c r="E369" i="2"/>
  <c r="E376" i="2"/>
  <c r="K414" i="2"/>
  <c r="H517" i="2"/>
  <c r="F414" i="2"/>
  <c r="E393" i="2"/>
  <c r="E387" i="2"/>
  <c r="E412" i="2"/>
  <c r="K424" i="2"/>
  <c r="F424" i="2"/>
  <c r="H527" i="2"/>
  <c r="K423" i="2"/>
  <c r="F423" i="2"/>
  <c r="H526" i="2"/>
  <c r="E363" i="2"/>
  <c r="K363" i="2"/>
  <c r="E392" i="2"/>
  <c r="E359" i="2"/>
  <c r="K359" i="2"/>
  <c r="E413" i="2"/>
  <c r="E379" i="2"/>
  <c r="E416" i="2"/>
  <c r="E357" i="2"/>
  <c r="K357" i="2"/>
  <c r="K421" i="2"/>
  <c r="F421" i="2"/>
  <c r="H524" i="2"/>
  <c r="E381" i="2"/>
  <c r="E384" i="2"/>
  <c r="E406" i="2"/>
  <c r="E380" i="2"/>
  <c r="E419" i="2"/>
  <c r="G465" i="2"/>
  <c r="F465" i="2"/>
  <c r="C465" i="2"/>
  <c r="D465" i="2"/>
  <c r="E465" i="2"/>
  <c r="E403" i="2"/>
  <c r="E398" i="2"/>
  <c r="K425" i="2"/>
  <c r="H528" i="2"/>
  <c r="F425" i="2"/>
  <c r="E399" i="2"/>
  <c r="E411" i="2"/>
  <c r="K415" i="2"/>
  <c r="F415" i="2"/>
  <c r="H518" i="2"/>
  <c r="E395" i="2"/>
  <c r="E385" i="2"/>
  <c r="E389" i="2"/>
  <c r="E373" i="2"/>
  <c r="E418" i="2"/>
  <c r="E361" i="2"/>
  <c r="K361" i="2"/>
  <c r="K422" i="2"/>
  <c r="F422" i="2"/>
  <c r="H525" i="2"/>
  <c r="E386" i="2"/>
  <c r="K382" i="2"/>
  <c r="H485" i="2"/>
  <c r="F382" i="2"/>
  <c r="E390" i="2"/>
  <c r="E358" i="2"/>
  <c r="K358" i="2"/>
  <c r="E396" i="2"/>
  <c r="E417" i="2"/>
  <c r="E388" i="2"/>
  <c r="E370" i="2"/>
  <c r="E400" i="2"/>
  <c r="E366" i="2"/>
  <c r="E405" i="2"/>
  <c r="K420" i="2"/>
  <c r="H523" i="2"/>
  <c r="F420" i="2"/>
  <c r="C39" i="2"/>
  <c r="I9" i="14" s="1"/>
  <c r="B194" i="2"/>
  <c r="B193" i="2"/>
  <c r="E190" i="2"/>
  <c r="F90" i="2"/>
  <c r="B185" i="2" s="1"/>
  <c r="B191" i="2"/>
  <c r="B192" i="2"/>
  <c r="C130" i="2" a="1"/>
  <c r="E523" i="2" l="1"/>
  <c r="G523" i="2"/>
  <c r="C523" i="2"/>
  <c r="F523" i="2"/>
  <c r="D523" i="2"/>
  <c r="K405" i="2"/>
  <c r="H508" i="2"/>
  <c r="F405" i="2"/>
  <c r="L422" i="2"/>
  <c r="H422" i="2"/>
  <c r="F460" i="2"/>
  <c r="G460" i="2"/>
  <c r="D460" i="2"/>
  <c r="C460" i="2"/>
  <c r="E460" i="2"/>
  <c r="K394" i="2"/>
  <c r="F394" i="2"/>
  <c r="H497" i="2"/>
  <c r="K403" i="2"/>
  <c r="F403" i="2"/>
  <c r="H506" i="2"/>
  <c r="K410" i="2"/>
  <c r="H513" i="2"/>
  <c r="F410" i="2"/>
  <c r="K379" i="2"/>
  <c r="F379" i="2"/>
  <c r="H482" i="2"/>
  <c r="K413" i="2"/>
  <c r="F413" i="2"/>
  <c r="H516" i="2"/>
  <c r="K364" i="2"/>
  <c r="F364" i="2"/>
  <c r="H467" i="2"/>
  <c r="C527" i="2"/>
  <c r="D527" i="2"/>
  <c r="F527" i="2"/>
  <c r="G527" i="2"/>
  <c r="E527" i="2"/>
  <c r="K366" i="2"/>
  <c r="F366" i="2"/>
  <c r="H469" i="2"/>
  <c r="C525" i="2"/>
  <c r="F525" i="2"/>
  <c r="G525" i="2"/>
  <c r="D525" i="2"/>
  <c r="E525" i="2"/>
  <c r="K398" i="2"/>
  <c r="F398" i="2"/>
  <c r="H501" i="2"/>
  <c r="K416" i="2"/>
  <c r="H519" i="2"/>
  <c r="F416" i="2"/>
  <c r="E462" i="2"/>
  <c r="D462" i="2"/>
  <c r="F462" i="2"/>
  <c r="C462" i="2"/>
  <c r="G462" i="2"/>
  <c r="C466" i="2"/>
  <c r="D466" i="2"/>
  <c r="G466" i="2"/>
  <c r="F466" i="2"/>
  <c r="E466" i="2"/>
  <c r="K365" i="2"/>
  <c r="F365" i="2"/>
  <c r="H468" i="2"/>
  <c r="K374" i="2"/>
  <c r="F374" i="2"/>
  <c r="H477" i="2"/>
  <c r="K412" i="2"/>
  <c r="F412" i="2"/>
  <c r="H515" i="2"/>
  <c r="K402" i="2"/>
  <c r="F402" i="2"/>
  <c r="H505" i="2"/>
  <c r="K370" i="2"/>
  <c r="F370" i="2"/>
  <c r="H473" i="2"/>
  <c r="K417" i="2"/>
  <c r="F417" i="2"/>
  <c r="H520" i="2"/>
  <c r="K396" i="2"/>
  <c r="F396" i="2"/>
  <c r="H499" i="2"/>
  <c r="K407" i="2"/>
  <c r="H510" i="2"/>
  <c r="F407" i="2"/>
  <c r="D455" i="2"/>
  <c r="E455" i="2"/>
  <c r="F455" i="2"/>
  <c r="G455" i="2"/>
  <c r="C455" i="2"/>
  <c r="K391" i="2"/>
  <c r="H494" i="2"/>
  <c r="F391" i="2"/>
  <c r="K381" i="2"/>
  <c r="F381" i="2"/>
  <c r="H484" i="2"/>
  <c r="L421" i="2"/>
  <c r="H421" i="2"/>
  <c r="K408" i="2"/>
  <c r="H511" i="2"/>
  <c r="F408" i="2"/>
  <c r="K387" i="2"/>
  <c r="F387" i="2"/>
  <c r="H490" i="2"/>
  <c r="K418" i="2"/>
  <c r="F418" i="2"/>
  <c r="H521" i="2"/>
  <c r="K393" i="2"/>
  <c r="H496" i="2"/>
  <c r="F393" i="2"/>
  <c r="K388" i="2"/>
  <c r="H491" i="2"/>
  <c r="F388" i="2"/>
  <c r="K368" i="2"/>
  <c r="F368" i="2"/>
  <c r="H471" i="2"/>
  <c r="K376" i="2"/>
  <c r="F376" i="2"/>
  <c r="H479" i="2"/>
  <c r="K385" i="2"/>
  <c r="H488" i="2"/>
  <c r="F385" i="2"/>
  <c r="E459" i="2"/>
  <c r="F459" i="2"/>
  <c r="G459" i="2"/>
  <c r="D459" i="2"/>
  <c r="C459" i="2"/>
  <c r="K380" i="2"/>
  <c r="F380" i="2"/>
  <c r="H483" i="2"/>
  <c r="K390" i="2"/>
  <c r="F390" i="2"/>
  <c r="H493" i="2"/>
  <c r="G518" i="2"/>
  <c r="F518" i="2"/>
  <c r="D518" i="2"/>
  <c r="C518" i="2"/>
  <c r="E518" i="2"/>
  <c r="K386" i="2"/>
  <c r="H489" i="2"/>
  <c r="F386" i="2"/>
  <c r="L425" i="2"/>
  <c r="H425" i="2"/>
  <c r="C528" i="2"/>
  <c r="G528" i="2"/>
  <c r="E528" i="2"/>
  <c r="F528" i="2"/>
  <c r="D528" i="2"/>
  <c r="K400" i="2"/>
  <c r="F400" i="2"/>
  <c r="H503" i="2"/>
  <c r="E463" i="2"/>
  <c r="G463" i="2"/>
  <c r="C463" i="2"/>
  <c r="D463" i="2"/>
  <c r="F463" i="2"/>
  <c r="K373" i="2"/>
  <c r="H476" i="2"/>
  <c r="F373" i="2"/>
  <c r="K378" i="2"/>
  <c r="H481" i="2"/>
  <c r="F378" i="2"/>
  <c r="K395" i="2"/>
  <c r="H498" i="2"/>
  <c r="F395" i="2"/>
  <c r="K404" i="2"/>
  <c r="F404" i="2"/>
  <c r="H507" i="2"/>
  <c r="K409" i="2"/>
  <c r="H512" i="2"/>
  <c r="F409" i="2"/>
  <c r="K399" i="2"/>
  <c r="H502" i="2"/>
  <c r="F399" i="2"/>
  <c r="L424" i="2"/>
  <c r="H424" i="2"/>
  <c r="K372" i="2"/>
  <c r="F372" i="2"/>
  <c r="H475" i="2"/>
  <c r="C524" i="2"/>
  <c r="F524" i="2"/>
  <c r="D524" i="2"/>
  <c r="E524" i="2"/>
  <c r="G524" i="2"/>
  <c r="G464" i="2"/>
  <c r="F464" i="2"/>
  <c r="C464" i="2"/>
  <c r="D464" i="2"/>
  <c r="E464" i="2"/>
  <c r="K401" i="2"/>
  <c r="H504" i="2"/>
  <c r="F401" i="2"/>
  <c r="K371" i="2"/>
  <c r="F371" i="2"/>
  <c r="H474" i="2"/>
  <c r="K389" i="2"/>
  <c r="H492" i="2"/>
  <c r="F389" i="2"/>
  <c r="G517" i="2"/>
  <c r="E517" i="2"/>
  <c r="C517" i="2"/>
  <c r="D517" i="2"/>
  <c r="F517" i="2"/>
  <c r="K383" i="2"/>
  <c r="H486" i="2"/>
  <c r="F383" i="2"/>
  <c r="K419" i="2"/>
  <c r="F419" i="2"/>
  <c r="H522" i="2"/>
  <c r="K369" i="2"/>
  <c r="F369" i="2"/>
  <c r="H472" i="2"/>
  <c r="F461" i="2"/>
  <c r="D461" i="2"/>
  <c r="G461" i="2"/>
  <c r="C461" i="2"/>
  <c r="E461" i="2"/>
  <c r="K392" i="2"/>
  <c r="F392" i="2"/>
  <c r="H495" i="2"/>
  <c r="K367" i="2"/>
  <c r="F367" i="2"/>
  <c r="H470" i="2"/>
  <c r="K406" i="2"/>
  <c r="F406" i="2"/>
  <c r="H509" i="2"/>
  <c r="K377" i="2"/>
  <c r="F377" i="2"/>
  <c r="H480" i="2"/>
  <c r="K375" i="2"/>
  <c r="F375" i="2"/>
  <c r="H478" i="2"/>
  <c r="L420" i="2"/>
  <c r="H420" i="2"/>
  <c r="K411" i="2"/>
  <c r="H514" i="2"/>
  <c r="F411" i="2"/>
  <c r="K384" i="2"/>
  <c r="H487" i="2"/>
  <c r="F384" i="2"/>
  <c r="L423" i="2"/>
  <c r="H423" i="2"/>
  <c r="K397" i="2"/>
  <c r="H500" i="2"/>
  <c r="F397" i="2"/>
  <c r="C458" i="2"/>
  <c r="F458" i="2"/>
  <c r="E458" i="2"/>
  <c r="D458" i="2"/>
  <c r="G458" i="2"/>
  <c r="G485" i="2"/>
  <c r="E485" i="2"/>
  <c r="D485" i="2"/>
  <c r="C485" i="2"/>
  <c r="F485" i="2"/>
  <c r="G526" i="2"/>
  <c r="D526" i="2"/>
  <c r="E526" i="2"/>
  <c r="F526" i="2"/>
  <c r="C526" i="2"/>
  <c r="H194" i="2"/>
  <c r="B190" i="2"/>
  <c r="B135" i="2"/>
  <c r="C133" i="2" s="1"/>
  <c r="D130" i="2"/>
  <c r="C130" i="2"/>
  <c r="H130" i="2"/>
  <c r="G130" i="2"/>
  <c r="F130" i="2"/>
  <c r="E130" i="2"/>
  <c r="E477" i="2" l="1"/>
  <c r="F477" i="2"/>
  <c r="C477" i="2"/>
  <c r="D477" i="2"/>
  <c r="G477" i="2"/>
  <c r="E503" i="2"/>
  <c r="C503" i="2"/>
  <c r="D503" i="2"/>
  <c r="F503" i="2"/>
  <c r="G503" i="2"/>
  <c r="E506" i="2"/>
  <c r="C506" i="2"/>
  <c r="F506" i="2"/>
  <c r="D506" i="2"/>
  <c r="G506" i="2"/>
  <c r="E496" i="2"/>
  <c r="C496" i="2"/>
  <c r="D496" i="2"/>
  <c r="G496" i="2"/>
  <c r="F496" i="2"/>
  <c r="E474" i="2"/>
  <c r="C474" i="2"/>
  <c r="D474" i="2"/>
  <c r="F474" i="2"/>
  <c r="G474" i="2"/>
  <c r="C521" i="2"/>
  <c r="E521" i="2"/>
  <c r="D521" i="2"/>
  <c r="F521" i="2"/>
  <c r="G521" i="2"/>
  <c r="D510" i="2"/>
  <c r="C510" i="2"/>
  <c r="E510" i="2"/>
  <c r="G510" i="2"/>
  <c r="F510" i="2"/>
  <c r="F499" i="2"/>
  <c r="G499" i="2"/>
  <c r="C499" i="2"/>
  <c r="D499" i="2"/>
  <c r="E499" i="2"/>
  <c r="G507" i="2"/>
  <c r="C507" i="2"/>
  <c r="F507" i="2"/>
  <c r="D507" i="2"/>
  <c r="E507" i="2"/>
  <c r="C520" i="2"/>
  <c r="F520" i="2"/>
  <c r="D520" i="2"/>
  <c r="G520" i="2"/>
  <c r="E520" i="2"/>
  <c r="C504" i="2"/>
  <c r="E504" i="2"/>
  <c r="D504" i="2"/>
  <c r="G504" i="2"/>
  <c r="F504" i="2"/>
  <c r="D490" i="2"/>
  <c r="C490" i="2"/>
  <c r="E490" i="2"/>
  <c r="F490" i="2"/>
  <c r="G490" i="2"/>
  <c r="E472" i="2"/>
  <c r="D472" i="2"/>
  <c r="F472" i="2"/>
  <c r="G472" i="2"/>
  <c r="C472" i="2"/>
  <c r="F511" i="2"/>
  <c r="D511" i="2"/>
  <c r="G511" i="2"/>
  <c r="C511" i="2"/>
  <c r="E511" i="2"/>
  <c r="C522" i="2"/>
  <c r="D522" i="2"/>
  <c r="F522" i="2"/>
  <c r="E522" i="2"/>
  <c r="G522" i="2"/>
  <c r="G480" i="2"/>
  <c r="D480" i="2"/>
  <c r="C480" i="2"/>
  <c r="F480" i="2"/>
  <c r="E480" i="2"/>
  <c r="C486" i="2"/>
  <c r="D486" i="2"/>
  <c r="E486" i="2"/>
  <c r="F486" i="2"/>
  <c r="G486" i="2"/>
  <c r="E489" i="2"/>
  <c r="G489" i="2"/>
  <c r="D489" i="2"/>
  <c r="C489" i="2"/>
  <c r="F489" i="2"/>
  <c r="D473" i="2"/>
  <c r="G473" i="2"/>
  <c r="F473" i="2"/>
  <c r="C473" i="2"/>
  <c r="E473" i="2"/>
  <c r="G471" i="2"/>
  <c r="C471" i="2"/>
  <c r="D471" i="2"/>
  <c r="E471" i="2"/>
  <c r="F471" i="2"/>
  <c r="E505" i="2"/>
  <c r="F505" i="2"/>
  <c r="C505" i="2"/>
  <c r="D505" i="2"/>
  <c r="G505" i="2"/>
  <c r="D508" i="2"/>
  <c r="C508" i="2"/>
  <c r="E508" i="2"/>
  <c r="F508" i="2"/>
  <c r="G508" i="2"/>
  <c r="D494" i="2"/>
  <c r="C494" i="2"/>
  <c r="F494" i="2"/>
  <c r="G494" i="2"/>
  <c r="E494" i="2"/>
  <c r="D491" i="2"/>
  <c r="C491" i="2"/>
  <c r="E491" i="2"/>
  <c r="F491" i="2"/>
  <c r="G491" i="2"/>
  <c r="E515" i="2"/>
  <c r="F515" i="2"/>
  <c r="D515" i="2"/>
  <c r="G515" i="2"/>
  <c r="C515" i="2"/>
  <c r="F501" i="2"/>
  <c r="E501" i="2"/>
  <c r="D501" i="2"/>
  <c r="G501" i="2"/>
  <c r="C501" i="2"/>
  <c r="D482" i="2"/>
  <c r="G482" i="2"/>
  <c r="C482" i="2"/>
  <c r="F482" i="2"/>
  <c r="E482" i="2"/>
  <c r="E513" i="2"/>
  <c r="D513" i="2"/>
  <c r="C513" i="2"/>
  <c r="F513" i="2"/>
  <c r="G513" i="2"/>
  <c r="F487" i="2"/>
  <c r="C487" i="2"/>
  <c r="D487" i="2"/>
  <c r="E487" i="2"/>
  <c r="G487" i="2"/>
  <c r="D502" i="2"/>
  <c r="G502" i="2"/>
  <c r="C502" i="2"/>
  <c r="F502" i="2"/>
  <c r="E502" i="2"/>
  <c r="C483" i="2"/>
  <c r="E483" i="2"/>
  <c r="D483" i="2"/>
  <c r="F483" i="2"/>
  <c r="G483" i="2"/>
  <c r="G514" i="2"/>
  <c r="E514" i="2"/>
  <c r="D514" i="2"/>
  <c r="C514" i="2"/>
  <c r="F514" i="2"/>
  <c r="G497" i="2"/>
  <c r="F497" i="2"/>
  <c r="D497" i="2"/>
  <c r="C497" i="2"/>
  <c r="E497" i="2"/>
  <c r="F478" i="2"/>
  <c r="E478" i="2"/>
  <c r="G478" i="2"/>
  <c r="D478" i="2"/>
  <c r="C478" i="2"/>
  <c r="F488" i="2"/>
  <c r="C488" i="2"/>
  <c r="D488" i="2"/>
  <c r="G488" i="2"/>
  <c r="E488" i="2"/>
  <c r="E498" i="2"/>
  <c r="G498" i="2"/>
  <c r="C498" i="2"/>
  <c r="F498" i="2"/>
  <c r="D498" i="2"/>
  <c r="G479" i="2"/>
  <c r="E479" i="2"/>
  <c r="D479" i="2"/>
  <c r="C479" i="2"/>
  <c r="F479" i="2"/>
  <c r="D467" i="2"/>
  <c r="G467" i="2"/>
  <c r="C467" i="2"/>
  <c r="F467" i="2"/>
  <c r="E467" i="2"/>
  <c r="D481" i="2"/>
  <c r="F481" i="2"/>
  <c r="G481" i="2"/>
  <c r="C481" i="2"/>
  <c r="E481" i="2"/>
  <c r="F484" i="2"/>
  <c r="C484" i="2"/>
  <c r="G484" i="2"/>
  <c r="D484" i="2"/>
  <c r="E484" i="2"/>
  <c r="E509" i="2"/>
  <c r="D509" i="2"/>
  <c r="C509" i="2"/>
  <c r="G509" i="2"/>
  <c r="F509" i="2"/>
  <c r="E516" i="2"/>
  <c r="D516" i="2"/>
  <c r="G516" i="2"/>
  <c r="F516" i="2"/>
  <c r="C516" i="2"/>
  <c r="F470" i="2"/>
  <c r="D470" i="2"/>
  <c r="C470" i="2"/>
  <c r="E470" i="2"/>
  <c r="G470" i="2"/>
  <c r="D468" i="2"/>
  <c r="E468" i="2"/>
  <c r="F468" i="2"/>
  <c r="G468" i="2"/>
  <c r="C468" i="2"/>
  <c r="D512" i="2"/>
  <c r="C512" i="2"/>
  <c r="E512" i="2"/>
  <c r="F512" i="2"/>
  <c r="G512" i="2"/>
  <c r="C469" i="2"/>
  <c r="E469" i="2"/>
  <c r="F469" i="2"/>
  <c r="G469" i="2"/>
  <c r="D469" i="2"/>
  <c r="E519" i="2"/>
  <c r="C519" i="2"/>
  <c r="G519" i="2"/>
  <c r="F519" i="2"/>
  <c r="D519" i="2"/>
  <c r="F476" i="2"/>
  <c r="E476" i="2"/>
  <c r="C476" i="2"/>
  <c r="G476" i="2"/>
  <c r="D476" i="2"/>
  <c r="C500" i="2"/>
  <c r="D500" i="2"/>
  <c r="G500" i="2"/>
  <c r="E500" i="2"/>
  <c r="F500" i="2"/>
  <c r="G475" i="2"/>
  <c r="C475" i="2"/>
  <c r="D475" i="2"/>
  <c r="F475" i="2"/>
  <c r="E475" i="2"/>
  <c r="C495" i="2"/>
  <c r="E495" i="2"/>
  <c r="D495" i="2"/>
  <c r="G495" i="2"/>
  <c r="F495" i="2"/>
  <c r="F492" i="2"/>
  <c r="C492" i="2"/>
  <c r="D492" i="2"/>
  <c r="G492" i="2"/>
  <c r="E492" i="2"/>
  <c r="G493" i="2"/>
  <c r="E493" i="2"/>
  <c r="F493" i="2"/>
  <c r="C493" i="2"/>
  <c r="D493" i="2"/>
  <c r="C194" i="2"/>
  <c r="E194" i="2" s="1"/>
  <c r="B136" i="2"/>
  <c r="B137" i="2" s="1"/>
  <c r="C135" i="2"/>
  <c r="C193" i="2"/>
  <c r="F193" i="2" s="1"/>
  <c r="G193" i="2" s="1"/>
  <c r="C185" i="2"/>
  <c r="C192" i="2"/>
  <c r="F192" i="2" s="1"/>
  <c r="G192" i="2" s="1"/>
  <c r="C191" i="2"/>
  <c r="F191" i="2" s="1"/>
  <c r="C190" i="2"/>
  <c r="F190" i="2" s="1"/>
  <c r="G190" i="2" s="1"/>
  <c r="I8" i="1"/>
  <c r="J8" i="1"/>
  <c r="K8" i="1"/>
  <c r="L8" i="1"/>
  <c r="H8" i="1"/>
  <c r="G8" i="1"/>
  <c r="F206" i="2" l="1"/>
  <c r="G191" i="2"/>
  <c r="G206" i="2" s="1"/>
  <c r="C136" i="2"/>
  <c r="B138" i="2"/>
  <c r="C137" i="2"/>
  <c r="F207" i="2" l="1"/>
  <c r="O9" i="1" s="1"/>
  <c r="B139" i="2"/>
  <c r="C138" i="2"/>
  <c r="B140" i="2" l="1"/>
  <c r="C139" i="2"/>
  <c r="B141" i="2" l="1"/>
  <c r="C140" i="2"/>
  <c r="B142" i="2" l="1"/>
  <c r="C141" i="2"/>
  <c r="B143" i="2" l="1"/>
  <c r="C142" i="2"/>
  <c r="B144" i="2" l="1"/>
  <c r="C143" i="2"/>
  <c r="B145" i="2" l="1"/>
  <c r="C144" i="2"/>
  <c r="B146" i="2" l="1"/>
  <c r="C145" i="2"/>
  <c r="G350" i="2" l="1"/>
  <c r="I246" i="2"/>
  <c r="K246" i="2" s="1"/>
  <c r="B147" i="2"/>
  <c r="C146" i="2"/>
  <c r="T246" i="2" l="1"/>
  <c r="O246" i="2"/>
  <c r="R246" i="2"/>
  <c r="L246" i="2"/>
  <c r="C350" i="2" s="1" a="1"/>
  <c r="C350" i="2" s="1"/>
  <c r="B350" i="2" s="1"/>
  <c r="K350" i="2" s="1"/>
  <c r="Q246" i="2"/>
  <c r="P246" i="2"/>
  <c r="M246" i="2"/>
  <c r="Y246" i="2"/>
  <c r="J246" i="2"/>
  <c r="N246" i="2"/>
  <c r="X246" i="2"/>
  <c r="W246" i="2"/>
  <c r="U246" i="2"/>
  <c r="V246" i="2"/>
  <c r="S246" i="2"/>
  <c r="F352" i="2"/>
  <c r="H455" i="2"/>
  <c r="H459" i="2"/>
  <c r="H454" i="2"/>
  <c r="H457" i="2"/>
  <c r="H456" i="2"/>
  <c r="H462" i="2"/>
  <c r="H465" i="2"/>
  <c r="H460" i="2"/>
  <c r="H458" i="2"/>
  <c r="H461" i="2"/>
  <c r="H463" i="2"/>
  <c r="H464" i="2"/>
  <c r="F363" i="2"/>
  <c r="H466" i="2"/>
  <c r="F354" i="2"/>
  <c r="F356" i="2"/>
  <c r="F353" i="2"/>
  <c r="F351" i="2"/>
  <c r="F362" i="2"/>
  <c r="F357" i="2"/>
  <c r="F355" i="2"/>
  <c r="F359" i="2"/>
  <c r="F358" i="2"/>
  <c r="F360" i="2"/>
  <c r="F361" i="2"/>
  <c r="H246" i="2"/>
  <c r="B148" i="2"/>
  <c r="C147" i="2"/>
  <c r="F350" i="2" l="1"/>
  <c r="H453" i="2"/>
  <c r="C453" i="2"/>
  <c r="G453" i="2"/>
  <c r="D453" i="2"/>
  <c r="E453" i="2"/>
  <c r="F453" i="2"/>
  <c r="E350" i="2"/>
  <c r="B149" i="2"/>
  <c r="C148" i="2"/>
  <c r="B556" i="2" l="1" a="1"/>
  <c r="E562" i="2" s="1"/>
  <c r="B150" i="2"/>
  <c r="C149" i="2"/>
  <c r="B562" i="2" l="1"/>
  <c r="G556" i="2"/>
  <c r="B557" i="2"/>
  <c r="C561" i="2"/>
  <c r="D561" i="2"/>
  <c r="C562" i="2"/>
  <c r="D560" i="2"/>
  <c r="C558" i="2"/>
  <c r="F559" i="2"/>
  <c r="C557" i="2"/>
  <c r="H558" i="2"/>
  <c r="E560" i="2"/>
  <c r="E561" i="2"/>
  <c r="D557" i="2"/>
  <c r="D558" i="2"/>
  <c r="H562" i="2"/>
  <c r="C559" i="2"/>
  <c r="F562" i="2"/>
  <c r="B556" i="2"/>
  <c r="B559" i="2"/>
  <c r="H556" i="2"/>
  <c r="F561" i="2"/>
  <c r="B560" i="2"/>
  <c r="G562" i="2"/>
  <c r="E558" i="2"/>
  <c r="F556" i="2"/>
  <c r="D18" i="13" s="1"/>
  <c r="E559" i="2"/>
  <c r="B558" i="2"/>
  <c r="P29" i="13" s="1"/>
  <c r="H561" i="2"/>
  <c r="C560" i="2"/>
  <c r="H559" i="2"/>
  <c r="E557" i="2"/>
  <c r="F560" i="2"/>
  <c r="F557" i="2"/>
  <c r="D562" i="2"/>
  <c r="G560" i="2"/>
  <c r="H557" i="2"/>
  <c r="D556" i="2"/>
  <c r="D16" i="13" s="1"/>
  <c r="C556" i="2"/>
  <c r="D15" i="13" s="1"/>
  <c r="G559" i="2"/>
  <c r="D559" i="2"/>
  <c r="G557" i="2"/>
  <c r="B561" i="2"/>
  <c r="H560" i="2"/>
  <c r="F558" i="2"/>
  <c r="E556" i="2"/>
  <c r="D17" i="13" s="1"/>
  <c r="G558" i="2"/>
  <c r="G561" i="2"/>
  <c r="D19" i="13"/>
  <c r="I426" i="2"/>
  <c r="I439" i="2"/>
  <c r="I438" i="2"/>
  <c r="I437" i="2"/>
  <c r="I436" i="2"/>
  <c r="I435" i="2"/>
  <c r="I430" i="2"/>
  <c r="I428" i="2"/>
  <c r="I432" i="2"/>
  <c r="I431" i="2"/>
  <c r="I433" i="2"/>
  <c r="I429" i="2"/>
  <c r="I440" i="2"/>
  <c r="I427" i="2"/>
  <c r="I434" i="2"/>
  <c r="I424" i="2"/>
  <c r="I425" i="2"/>
  <c r="I423" i="2"/>
  <c r="I422" i="2"/>
  <c r="I421" i="2"/>
  <c r="I420" i="2"/>
  <c r="B151" i="2"/>
  <c r="C150" i="2"/>
  <c r="H376" i="2" l="1"/>
  <c r="I376" i="2" s="1"/>
  <c r="C569" i="2"/>
  <c r="O27" i="13" s="1"/>
  <c r="H414" i="2"/>
  <c r="I414" i="2" s="1"/>
  <c r="H356" i="2"/>
  <c r="I356" i="2" s="1"/>
  <c r="H379" i="2"/>
  <c r="I379" i="2" s="1"/>
  <c r="H415" i="2"/>
  <c r="I415" i="2" s="1"/>
  <c r="L394" i="2"/>
  <c r="H364" i="2"/>
  <c r="I364" i="2" s="1"/>
  <c r="H393" i="2"/>
  <c r="I393" i="2" s="1"/>
  <c r="H352" i="2"/>
  <c r="I352" i="2" s="1"/>
  <c r="L357" i="2"/>
  <c r="H362" i="2"/>
  <c r="I362" i="2" s="1"/>
  <c r="H384" i="2"/>
  <c r="I384" i="2" s="1"/>
  <c r="L367" i="2"/>
  <c r="L376" i="2"/>
  <c r="L403" i="2"/>
  <c r="H383" i="2"/>
  <c r="I383" i="2" s="1"/>
  <c r="L368" i="2"/>
  <c r="L396" i="2"/>
  <c r="L354" i="2"/>
  <c r="L398" i="2"/>
  <c r="H366" i="2"/>
  <c r="I366" i="2" s="1"/>
  <c r="L399" i="2"/>
  <c r="H373" i="2"/>
  <c r="I373" i="2" s="1"/>
  <c r="L381" i="2"/>
  <c r="L363" i="2"/>
  <c r="H372" i="2"/>
  <c r="I372" i="2" s="1"/>
  <c r="L390" i="2"/>
  <c r="H396" i="2"/>
  <c r="I396" i="2" s="1"/>
  <c r="H363" i="2"/>
  <c r="I363" i="2" s="1"/>
  <c r="H386" i="2"/>
  <c r="I386" i="2" s="1"/>
  <c r="L359" i="2"/>
  <c r="L365" i="2"/>
  <c r="L391" i="2"/>
  <c r="H355" i="2"/>
  <c r="I355" i="2" s="1"/>
  <c r="L352" i="2"/>
  <c r="H371" i="2"/>
  <c r="I371" i="2" s="1"/>
  <c r="L380" i="2"/>
  <c r="L392" i="2"/>
  <c r="H389" i="2"/>
  <c r="I389" i="2" s="1"/>
  <c r="H353" i="2"/>
  <c r="I353" i="2" s="1"/>
  <c r="H382" i="2"/>
  <c r="I382" i="2" s="1"/>
  <c r="L383" i="2"/>
  <c r="L384" i="2"/>
  <c r="H387" i="2"/>
  <c r="I387" i="2" s="1"/>
  <c r="L371" i="2"/>
  <c r="H380" i="2"/>
  <c r="I380" i="2" s="1"/>
  <c r="L350" i="2"/>
  <c r="H402" i="2"/>
  <c r="I402" i="2" s="1"/>
  <c r="H370" i="2"/>
  <c r="I370" i="2" s="1"/>
  <c r="H388" i="2"/>
  <c r="I388" i="2" s="1"/>
  <c r="L372" i="2"/>
  <c r="H391" i="2"/>
  <c r="I391" i="2" s="1"/>
  <c r="L397" i="2"/>
  <c r="H416" i="2"/>
  <c r="I416" i="2" s="1"/>
  <c r="H392" i="2"/>
  <c r="I392" i="2" s="1"/>
  <c r="H367" i="2"/>
  <c r="I367" i="2" s="1"/>
  <c r="H358" i="2"/>
  <c r="I358" i="2" s="1"/>
  <c r="L353" i="2"/>
  <c r="L378" i="2"/>
  <c r="L382" i="2"/>
  <c r="L351" i="2"/>
  <c r="H397" i="2"/>
  <c r="I397" i="2" s="1"/>
  <c r="L387" i="2"/>
  <c r="H408" i="2"/>
  <c r="I408" i="2" s="1"/>
  <c r="H374" i="2"/>
  <c r="I374" i="2" s="1"/>
  <c r="L388" i="2"/>
  <c r="L361" i="2"/>
  <c r="L370" i="2"/>
  <c r="L366" i="2"/>
  <c r="L379" i="2"/>
  <c r="H350" i="2"/>
  <c r="I350" i="2" s="1"/>
  <c r="H378" i="2"/>
  <c r="I378" i="2" s="1"/>
  <c r="H377" i="2"/>
  <c r="I377" i="2" s="1"/>
  <c r="L356" i="2"/>
  <c r="D14" i="13"/>
  <c r="L364" i="2"/>
  <c r="H394" i="2"/>
  <c r="I394" i="2" s="1"/>
  <c r="H365" i="2"/>
  <c r="I365" i="2" s="1"/>
  <c r="L389" i="2"/>
  <c r="L393" i="2"/>
  <c r="L386" i="2"/>
  <c r="H403" i="2"/>
  <c r="I403" i="2" s="1"/>
  <c r="H351" i="2"/>
  <c r="I351" i="2" s="1"/>
  <c r="L401" i="2"/>
  <c r="L375" i="2"/>
  <c r="H401" i="2"/>
  <c r="I401" i="2" s="1"/>
  <c r="L360" i="2"/>
  <c r="H360" i="2"/>
  <c r="I360" i="2" s="1"/>
  <c r="L404" i="2"/>
  <c r="H381" i="2"/>
  <c r="I381" i="2" s="1"/>
  <c r="L377" i="2"/>
  <c r="H406" i="2"/>
  <c r="I406" i="2" s="1"/>
  <c r="H413" i="2"/>
  <c r="I413" i="2" s="1"/>
  <c r="H395" i="2"/>
  <c r="I395" i="2" s="1"/>
  <c r="H400" i="2"/>
  <c r="I400" i="2" s="1"/>
  <c r="H359" i="2"/>
  <c r="I359" i="2" s="1"/>
  <c r="H399" i="2"/>
  <c r="I399" i="2" s="1"/>
  <c r="H410" i="2"/>
  <c r="I410" i="2" s="1"/>
  <c r="H368" i="2"/>
  <c r="I368" i="2" s="1"/>
  <c r="H407" i="2"/>
  <c r="I407" i="2" s="1"/>
  <c r="L369" i="2"/>
  <c r="L362" i="2"/>
  <c r="H411" i="2"/>
  <c r="I411" i="2" s="1"/>
  <c r="L395" i="2"/>
  <c r="H369" i="2"/>
  <c r="I369" i="2" s="1"/>
  <c r="H375" i="2"/>
  <c r="I375" i="2" s="1"/>
  <c r="L402" i="2"/>
  <c r="H412" i="2"/>
  <c r="I412" i="2" s="1"/>
  <c r="L400" i="2"/>
  <c r="H404" i="2"/>
  <c r="I404" i="2" s="1"/>
  <c r="L405" i="2"/>
  <c r="H357" i="2"/>
  <c r="I357" i="2" s="1"/>
  <c r="H418" i="2"/>
  <c r="I418" i="2" s="1"/>
  <c r="L358" i="2"/>
  <c r="H390" i="2"/>
  <c r="I390" i="2" s="1"/>
  <c r="H409" i="2"/>
  <c r="I409" i="2" s="1"/>
  <c r="H385" i="2"/>
  <c r="I385" i="2" s="1"/>
  <c r="L385" i="2"/>
  <c r="L355" i="2"/>
  <c r="H419" i="2"/>
  <c r="I419" i="2" s="1"/>
  <c r="H398" i="2"/>
  <c r="I398" i="2" s="1"/>
  <c r="H361" i="2"/>
  <c r="I361" i="2" s="1"/>
  <c r="H405" i="2"/>
  <c r="I405" i="2" s="1"/>
  <c r="L374" i="2"/>
  <c r="H417" i="2"/>
  <c r="I417" i="2" s="1"/>
  <c r="L373" i="2"/>
  <c r="H354" i="2"/>
  <c r="I354" i="2" s="1"/>
  <c r="B152" i="2"/>
  <c r="C151" i="2"/>
  <c r="B153" i="2" l="1"/>
  <c r="C152" i="2"/>
  <c r="B154" i="2" l="1"/>
  <c r="C153" i="2"/>
  <c r="B155" i="2" l="1"/>
  <c r="C154" i="2"/>
  <c r="B156" i="2" l="1"/>
  <c r="C155" i="2"/>
  <c r="B157" i="2" l="1"/>
  <c r="C156" i="2"/>
  <c r="B158" i="2" l="1"/>
  <c r="C157" i="2"/>
  <c r="B159" i="2" l="1"/>
  <c r="C158" i="2"/>
  <c r="B160" i="2" l="1"/>
  <c r="C159" i="2"/>
  <c r="B161" i="2" l="1"/>
  <c r="C160" i="2"/>
  <c r="B162" i="2" l="1"/>
  <c r="C161" i="2"/>
  <c r="B163" i="2" l="1"/>
  <c r="C162" i="2"/>
  <c r="B164" i="2" l="1"/>
  <c r="C163" i="2"/>
  <c r="B165" i="2" l="1"/>
  <c r="C164" i="2"/>
  <c r="B166" i="2" l="1"/>
  <c r="C165" i="2"/>
  <c r="B167" i="2" l="1"/>
  <c r="C166" i="2"/>
  <c r="B168" i="2" l="1"/>
  <c r="C167" i="2"/>
  <c r="B169" i="2" l="1"/>
  <c r="C168" i="2"/>
  <c r="B170" i="2" l="1"/>
  <c r="C169" i="2"/>
  <c r="B171" i="2" l="1"/>
  <c r="C170" i="2"/>
  <c r="B172" i="2" l="1"/>
  <c r="C171" i="2"/>
  <c r="B173" i="2" l="1"/>
  <c r="C172" i="2"/>
  <c r="B174" i="2" l="1"/>
  <c r="C173" i="2"/>
  <c r="B175" i="2" l="1"/>
  <c r="C174" i="2"/>
  <c r="B176" i="2" l="1"/>
  <c r="C175" i="2"/>
  <c r="B177" i="2" l="1"/>
  <c r="C176" i="2"/>
  <c r="B178" i="2" l="1"/>
  <c r="C177" i="2"/>
  <c r="B179" i="2" l="1"/>
  <c r="C178" i="2"/>
  <c r="B180" i="2" l="1"/>
  <c r="C179" i="2"/>
  <c r="B181" i="2" l="1"/>
  <c r="C180" i="2"/>
  <c r="B182" i="2" l="1"/>
  <c r="C181" i="2"/>
  <c r="B183" i="2" l="1"/>
  <c r="C182" i="2"/>
  <c r="B184" i="2" l="1"/>
  <c r="C183" i="2"/>
  <c r="C184"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<sst xmlns="http://schemas.openxmlformats.org/spreadsheetml/2006/main" count="288" uniqueCount="173">
  <si>
    <t>yes</t>
  </si>
  <si>
    <t>Calibration Curve</t>
  </si>
  <si>
    <t>Calibration</t>
  </si>
  <si>
    <t>#</t>
  </si>
  <si>
    <t>tp</t>
  </si>
  <si>
    <t>%</t>
  </si>
  <si>
    <t>use?</t>
  </si>
  <si>
    <t>m0</t>
  </si>
  <si>
    <t>m1</t>
  </si>
  <si>
    <t>m2</t>
  </si>
  <si>
    <t>m3</t>
  </si>
  <si>
    <t>m4</t>
  </si>
  <si>
    <t>m5</t>
  </si>
  <si>
    <t>Support</t>
  </si>
  <si>
    <t>Conversion</t>
  </si>
  <si>
    <t>ρ</t>
  </si>
  <si>
    <t>Water</t>
  </si>
  <si>
    <t>Material</t>
  </si>
  <si>
    <r>
      <t>kg/dm</t>
    </r>
    <r>
      <rPr>
        <vertAlign val="superscript"/>
        <sz val="11"/>
        <color theme="1"/>
        <rFont val="Aptos Narrow"/>
        <family val="2"/>
      </rPr>
      <t>3</t>
    </r>
  </si>
  <si>
    <t>Moisture [Input]</t>
  </si>
  <si>
    <t>Moisture [Output]</t>
  </si>
  <si>
    <t xml:space="preserve">  Sand (dry)</t>
  </si>
  <si>
    <t xml:space="preserve">  Gravel (2-8 mm)</t>
  </si>
  <si>
    <t xml:space="preserve">  Gravel (16-32 mm)</t>
  </si>
  <si>
    <t xml:space="preserve">  Gravel (8-16 mm)</t>
  </si>
  <si>
    <t xml:space="preserve">  Sawdust</t>
  </si>
  <si>
    <t xml:space="preserve">  Wood Chips</t>
  </si>
  <si>
    <t xml:space="preserve">  Biomass</t>
  </si>
  <si>
    <t xml:space="preserve">  Wheat (Grain)</t>
  </si>
  <si>
    <t xml:space="preserve">  Corn (Maize)</t>
  </si>
  <si>
    <t>no</t>
  </si>
  <si>
    <t>Filter &amp; Sort</t>
  </si>
  <si>
    <t>RGP</t>
  </si>
  <si>
    <t>Extend [tp]</t>
  </si>
  <si>
    <t>R^2</t>
  </si>
  <si>
    <t>y_Avg</t>
  </si>
  <si>
    <r>
      <t>R</t>
    </r>
    <r>
      <rPr>
        <vertAlign val="superscript"/>
        <sz val="9"/>
        <color theme="1"/>
        <rFont val="Aptos Narrow"/>
        <family val="2"/>
      </rPr>
      <t>2</t>
    </r>
    <r>
      <rPr>
        <sz val="9"/>
        <color theme="1"/>
        <rFont val="Aptos Narrow"/>
        <family val="2"/>
      </rPr>
      <t>=</t>
    </r>
  </si>
  <si>
    <r>
      <t>kg/dm</t>
    </r>
    <r>
      <rPr>
        <vertAlign val="superscript"/>
        <sz val="9"/>
        <color theme="2" tint="-0.499984740745262"/>
        <rFont val="Aptos Narrow"/>
        <family val="2"/>
      </rPr>
      <t>3</t>
    </r>
  </si>
  <si>
    <t>Typical Bulk Densitys (Gravimetric, dry Material)</t>
  </si>
  <si>
    <r>
      <rPr>
        <i/>
        <sz val="10"/>
        <rFont val="Aptos Narrow"/>
        <family val="2"/>
      </rPr>
      <t>When to use this spreadsheet?</t>
    </r>
    <r>
      <rPr>
        <sz val="10"/>
        <rFont val="Aptos Narrow"/>
        <family val="2"/>
      </rPr>
      <t xml:space="preserve">
Use this spreadsheet to convert volumetric moisture to gravimetric moisture and vice versa.
</t>
    </r>
    <r>
      <rPr>
        <i/>
        <sz val="10"/>
        <rFont val="Aptos Narrow"/>
        <family val="2"/>
      </rPr>
      <t xml:space="preserve">How to use this spreadsheet?
</t>
    </r>
    <r>
      <rPr>
        <sz val="10"/>
        <rFont val="Aptos Narrow"/>
        <family val="2"/>
      </rPr>
      <t>Adjust the light blue highlighted fields to suit your needs:</t>
    </r>
    <r>
      <rPr>
        <i/>
        <sz val="10"/>
        <rFont val="Aptos Narrow"/>
        <family val="2"/>
      </rPr>
      <t xml:space="preserve">
</t>
    </r>
    <r>
      <rPr>
        <sz val="10"/>
        <rFont val="Aptos Narrow"/>
        <family val="2"/>
      </rPr>
      <t xml:space="preserve">(1) First, enter the dry density of the material to be measured.
(2) Under “Calculate Moisture based on,” select the reference state for the moisture specification, i.e., whether the water content is based on the dry mass or the wet mass (= total mass).
(3) Finally, enter the moisture value in “Moisture [Input]” and select whether the input is volumetric or gravimetric moisture.
</t>
    </r>
  </si>
  <si>
    <r>
      <rPr>
        <i/>
        <sz val="10"/>
        <rFont val="Aptos Narrow"/>
        <family val="2"/>
      </rPr>
      <t>When to use this spreadsheet?</t>
    </r>
    <r>
      <rPr>
        <sz val="10"/>
        <rFont val="Aptos Narrow"/>
        <family val="2"/>
      </rPr>
      <t xml:space="preserve">
Use this spreadsheet to determine a calibration function for the reference points you have determined.
</t>
    </r>
    <r>
      <rPr>
        <i/>
        <sz val="10"/>
        <rFont val="Aptos Narrow"/>
        <family val="2"/>
      </rPr>
      <t xml:space="preserve">How to use this spreadsheet?
</t>
    </r>
    <r>
      <rPr>
        <sz val="10"/>
        <rFont val="Aptos Narrow"/>
        <family val="2"/>
      </rPr>
      <t xml:space="preserve">(1) Enter your reference measurements in the table on the left:
</t>
    </r>
    <r>
      <rPr>
        <sz val="10"/>
        <color theme="0"/>
        <rFont val="Aptos Narrow"/>
        <family val="2"/>
      </rPr>
      <t>(1)</t>
    </r>
    <r>
      <rPr>
        <sz val="10"/>
        <rFont val="Aptos Narrow"/>
        <family val="2"/>
      </rPr>
      <t xml:space="preserve"> Each pair of values contains the measured tp value (raw sensor value) and the reference moisture content determined using a reference method (e.g. by drying).
(2) In the “use?” column, you can choose whether the reference point should be included in the calculation of the calibration curve. 
</t>
    </r>
    <r>
      <rPr>
        <sz val="10"/>
        <color theme="0"/>
        <rFont val="Aptos Narrow"/>
        <family val="2"/>
      </rPr>
      <t>(2)</t>
    </r>
    <r>
      <rPr>
        <sz val="10"/>
        <rFont val="Aptos Narrow"/>
        <family val="2"/>
      </rPr>
      <t xml:space="preserve"> This allows you to exclude points (e. g. for a test) without having to remove the information from the table.
(3) The supporting point is an additional reference point that is useful if only one reference measurement is available or if the existing reference measurements show little variation.
(4) The table on the right shows the polynomial coefficients of the calibration curve. You can choose between linear regresseion (default) and higher order polynomials (up to degree of 5).
(5) The setting for “Extend [tp]” only affects the display and causes the calibration curve to be extended beyond the reference points. 
</t>
    </r>
    <r>
      <rPr>
        <sz val="10"/>
        <color theme="0"/>
        <rFont val="Aptos Narrow"/>
        <family val="2"/>
      </rPr>
      <t xml:space="preserve">(5) </t>
    </r>
    <r>
      <rPr>
        <sz val="10"/>
        <rFont val="Aptos Narrow"/>
        <family val="2"/>
      </rPr>
      <t xml:space="preserve">This allows you to evaluate whether the curve outside the known reference points is meaningful.
</t>
    </r>
    <r>
      <rPr>
        <i/>
        <sz val="10"/>
        <rFont val="Aptos Narrow"/>
        <family val="2"/>
      </rPr>
      <t xml:space="preserve">What do I do with the polynomial coefficients?
</t>
    </r>
    <r>
      <rPr>
        <sz val="10"/>
        <rFont val="Aptos Narrow"/>
        <family val="2"/>
      </rPr>
      <t>The polynomial coefficients can be transferred to an existing or new calibration using software (SONO Config / PICO Config / TRIME Tool) or the IMKO CONNECT app.</t>
    </r>
  </si>
  <si>
    <t>Soil Density Correction</t>
  </si>
  <si>
    <t>kg/l</t>
  </si>
  <si>
    <t>Correction Offset</t>
  </si>
  <si>
    <t>Soil Density [kg/l]</t>
  </si>
  <si>
    <t>Change Calibration</t>
  </si>
  <si>
    <t xml:space="preserve"> </t>
  </si>
  <si>
    <t>Soil Density  
Correction</t>
  </si>
  <si>
    <r>
      <rPr>
        <i/>
        <sz val="10"/>
        <rFont val="Aptos Narrow"/>
        <family val="2"/>
      </rPr>
      <t>When to use this spreadsheet?</t>
    </r>
    <r>
      <rPr>
        <sz val="10"/>
        <rFont val="Aptos Narrow"/>
        <family val="2"/>
      </rPr>
      <t xml:space="preserve">
Use this spreadsheet to determine the correction offset m0 for the "Universal Soil Calibraiton" in case of other soil density than 1.41 kg/l.
</t>
    </r>
    <r>
      <rPr>
        <i/>
        <sz val="10"/>
        <rFont val="Aptos Narrow"/>
        <family val="2"/>
      </rPr>
      <t xml:space="preserve">How to use this spreadsheet?
</t>
    </r>
    <r>
      <rPr>
        <sz val="10"/>
        <rFont val="Aptos Narrow"/>
        <family val="2"/>
      </rPr>
      <t xml:space="preserve">(1) Enter the actual soil density in the "Soil Density [kg/l]" input field.
(2) Read the calculated correction offset?
</t>
    </r>
    <r>
      <rPr>
        <i/>
        <sz val="10"/>
        <rFont val="Aptos Narrow"/>
        <family val="2"/>
      </rPr>
      <t xml:space="preserve">What do I do with the correction offset?
</t>
    </r>
    <r>
      <rPr>
        <sz val="10"/>
        <rFont val="Aptos Narrow"/>
        <family val="2"/>
      </rPr>
      <t>Use the correction offset to adjust the "Universal Soil" calibration on your probe. This requieres a connection to the probe by software (PICO Config / TRIME Tool) or the IMKO CONNECT app. Note: Don't replace the existing m0 offset by the calculated value but add or substract the value calculated below to/from the "Universal Soil" offset m0.</t>
    </r>
  </si>
  <si>
    <t xml:space="preserve"> Reference Soil Density for "Universal Soil":</t>
  </si>
  <si>
    <t>β</t>
  </si>
  <si>
    <t>−</t>
  </si>
  <si>
    <t>Input</t>
  </si>
  <si>
    <r>
      <t>%M</t>
    </r>
    <r>
      <rPr>
        <vertAlign val="subscript"/>
        <sz val="9"/>
        <color theme="2" tint="-0.499984740745262"/>
        <rFont val="Aptos Narrow"/>
        <family val="2"/>
      </rPr>
      <t>VOL</t>
    </r>
    <r>
      <rPr>
        <sz val="9"/>
        <color theme="2" tint="-0.499984740745262"/>
        <rFont val="Aptos Narrow"/>
        <family val="2"/>
      </rPr>
      <t xml:space="preserve"> (T)</t>
    </r>
  </si>
  <si>
    <r>
      <t>%M</t>
    </r>
    <r>
      <rPr>
        <vertAlign val="subscript"/>
        <sz val="9"/>
        <color theme="2" tint="-0.499984740745262"/>
        <rFont val="Aptos Narrow"/>
        <family val="2"/>
      </rPr>
      <t>VOL</t>
    </r>
    <r>
      <rPr>
        <sz val="9"/>
        <color theme="2" tint="-0.499984740745262"/>
        <rFont val="Aptos Narrow"/>
        <family val="2"/>
      </rPr>
      <t xml:space="preserve"> (D)</t>
    </r>
  </si>
  <si>
    <r>
      <t>%M</t>
    </r>
    <r>
      <rPr>
        <vertAlign val="subscript"/>
        <sz val="9"/>
        <color theme="2" tint="-0.499984740745262"/>
        <rFont val="Aptos Narrow"/>
        <family val="2"/>
      </rPr>
      <t>GRAV</t>
    </r>
    <r>
      <rPr>
        <sz val="9"/>
        <color theme="2" tint="-0.499984740745262"/>
        <rFont val="Aptos Narrow"/>
        <family val="2"/>
      </rPr>
      <t xml:space="preserve"> (T)</t>
    </r>
  </si>
  <si>
    <r>
      <t>%M</t>
    </r>
    <r>
      <rPr>
        <vertAlign val="subscript"/>
        <sz val="9"/>
        <color theme="2" tint="-0.499984740745262"/>
        <rFont val="Aptos Narrow"/>
        <family val="2"/>
      </rPr>
      <t>GRAV</t>
    </r>
    <r>
      <rPr>
        <sz val="9"/>
        <color theme="2" tint="-0.499984740745262"/>
        <rFont val="Aptos Narrow"/>
        <family val="2"/>
      </rPr>
      <t xml:space="preserve"> (D)</t>
    </r>
  </si>
  <si>
    <t>Output</t>
  </si>
  <si>
    <r>
      <t>%M</t>
    </r>
    <r>
      <rPr>
        <vertAlign val="subscript"/>
        <sz val="9"/>
        <rFont val="Aptos Narrow"/>
        <family val="2"/>
      </rPr>
      <t>VOL</t>
    </r>
    <r>
      <rPr>
        <sz val="9"/>
        <rFont val="Aptos Narrow"/>
        <family val="2"/>
      </rPr>
      <t xml:space="preserve"> (T)</t>
    </r>
  </si>
  <si>
    <r>
      <t>%M</t>
    </r>
    <r>
      <rPr>
        <vertAlign val="subscript"/>
        <sz val="9"/>
        <rFont val="Aptos Narrow"/>
        <family val="2"/>
      </rPr>
      <t>VOL</t>
    </r>
    <r>
      <rPr>
        <sz val="9"/>
        <rFont val="Aptos Narrow"/>
        <family val="2"/>
      </rPr>
      <t xml:space="preserve"> (D)</t>
    </r>
  </si>
  <si>
    <r>
      <t>%M</t>
    </r>
    <r>
      <rPr>
        <vertAlign val="subscript"/>
        <sz val="9"/>
        <rFont val="Aptos Narrow"/>
        <family val="2"/>
      </rPr>
      <t>GRAV</t>
    </r>
    <r>
      <rPr>
        <sz val="9"/>
        <rFont val="Aptos Narrow"/>
        <family val="2"/>
      </rPr>
      <t xml:space="preserve"> (T)</t>
    </r>
  </si>
  <si>
    <r>
      <t>%M</t>
    </r>
    <r>
      <rPr>
        <vertAlign val="subscript"/>
        <sz val="9"/>
        <rFont val="Aptos Narrow"/>
        <family val="2"/>
      </rPr>
      <t>GRAV</t>
    </r>
    <r>
      <rPr>
        <sz val="9"/>
        <rFont val="Aptos Narrow"/>
        <family val="2"/>
      </rPr>
      <t xml:space="preserve"> (D)</t>
    </r>
  </si>
  <si>
    <t>Volumetric (Total)</t>
  </si>
  <si>
    <t>Gravimetric (Total)</t>
  </si>
  <si>
    <t>11</t>
  </si>
  <si>
    <t>12</t>
  </si>
  <si>
    <t>13</t>
  </si>
  <si>
    <t>14</t>
  </si>
  <si>
    <t>21</t>
  </si>
  <si>
    <t>22</t>
  </si>
  <si>
    <t>23</t>
  </si>
  <si>
    <t>24</t>
  </si>
  <si>
    <t>31</t>
  </si>
  <si>
    <t>32</t>
  </si>
  <si>
    <t>33</t>
  </si>
  <si>
    <t>34</t>
  </si>
  <si>
    <t>41</t>
  </si>
  <si>
    <t>42</t>
  </si>
  <si>
    <t>43</t>
  </si>
  <si>
    <t>44</t>
  </si>
  <si>
    <t>Calibration Coefficients</t>
  </si>
  <si>
    <t>1</t>
  </si>
  <si>
    <t>2</t>
  </si>
  <si>
    <t>3</t>
  </si>
  <si>
    <t>4</t>
  </si>
  <si>
    <t>5</t>
  </si>
  <si>
    <t>6</t>
  </si>
  <si>
    <t>7</t>
  </si>
  <si>
    <t>8</t>
  </si>
  <si>
    <t>9</t>
  </si>
  <si>
    <t>10</t>
  </si>
  <si>
    <t>15</t>
  </si>
  <si>
    <t>16</t>
  </si>
  <si>
    <t>INPUT</t>
  </si>
  <si>
    <t>OUTPUT</t>
  </si>
  <si>
    <t>Input Moisture</t>
  </si>
  <si>
    <t>Output Moisture</t>
  </si>
  <si>
    <t>Input Calibration</t>
  </si>
  <si>
    <t>Output Calibration</t>
  </si>
  <si>
    <t>Degree</t>
  </si>
  <si>
    <t>Polynomial [5]</t>
  </si>
  <si>
    <t>Settings</t>
  </si>
  <si>
    <t>Density, Material</t>
  </si>
  <si>
    <t>Density, Water</t>
  </si>
  <si>
    <t>Den.-Relation, β</t>
  </si>
  <si>
    <t>Start, %</t>
  </si>
  <si>
    <t>End, %</t>
  </si>
  <si>
    <t>Test:</t>
  </si>
  <si>
    <t>tp =</t>
  </si>
  <si>
    <r>
      <t xml:space="preserve">  </t>
    </r>
    <r>
      <rPr>
        <sz val="12"/>
        <color theme="1"/>
        <rFont val="Aptos Narrow"/>
        <family val="2"/>
      </rPr>
      <t>Note: The density correction only applies to the "Universal Soil" calibration!</t>
    </r>
  </si>
  <si>
    <t>Plot</t>
  </si>
  <si>
    <t>Standard</t>
  </si>
  <si>
    <t>transformed</t>
  </si>
  <si>
    <r>
      <rPr>
        <sz val="11"/>
        <color theme="1"/>
        <rFont val="Aptos Narrow"/>
        <family val="2"/>
      </rPr>
      <t xml:space="preserve">β = </t>
    </r>
    <r>
      <rPr>
        <sz val="11"/>
        <color theme="1"/>
        <rFont val="Calibri"/>
        <family val="2"/>
        <scheme val="minor"/>
      </rPr>
      <t>2,5</t>
    </r>
  </si>
  <si>
    <r>
      <rPr>
        <sz val="11"/>
        <color theme="1"/>
        <rFont val="Aptos Narrow"/>
        <family val="2"/>
      </rPr>
      <t xml:space="preserve">β = </t>
    </r>
    <r>
      <rPr>
        <sz val="11"/>
        <color theme="1"/>
        <rFont val="Calibri"/>
        <family val="2"/>
        <scheme val="minor"/>
      </rPr>
      <t>1,0</t>
    </r>
  </si>
  <si>
    <r>
      <rPr>
        <sz val="11"/>
        <color theme="1"/>
        <rFont val="Aptos Narrow"/>
        <family val="2"/>
      </rPr>
      <t xml:space="preserve">β = </t>
    </r>
    <r>
      <rPr>
        <sz val="11"/>
        <color theme="1"/>
        <rFont val="Calibri"/>
        <family val="2"/>
        <scheme val="minor"/>
      </rPr>
      <t>0,25</t>
    </r>
  </si>
  <si>
    <t>Linear</t>
  </si>
  <si>
    <t>Tools</t>
  </si>
  <si>
    <t xml:space="preserve">   Conversion</t>
  </si>
  <si>
    <t xml:space="preserve">   Read Data from Spread Sheet</t>
  </si>
  <si>
    <t>Moisture</t>
  </si>
  <si>
    <t>Input-Output</t>
  </si>
  <si>
    <t xml:space="preserve">   Calculate all Scenarios</t>
  </si>
  <si>
    <t xml:space="preserve">   Transform to read for SVERWEIS</t>
  </si>
  <si>
    <t>Selected</t>
  </si>
  <si>
    <t xml:space="preserve">   Plot</t>
  </si>
  <si>
    <t>Conversion based on dry Material</t>
  </si>
  <si>
    <t>%M_VOL</t>
  </si>
  <si>
    <t>Conversion based on wet Material</t>
  </si>
  <si>
    <t xml:space="preserve">   Calibration</t>
  </si>
  <si>
    <t>List of Measuring Points (unsorted)</t>
  </si>
  <si>
    <t xml:space="preserve">   Calculate Trend Line (RGP)</t>
  </si>
  <si>
    <t>Selected Degree for Calibration</t>
  </si>
  <si>
    <t>Span MAX-MIN</t>
  </si>
  <si>
    <t>Calculated with Regression</t>
  </si>
  <si>
    <t xml:space="preserve">   Calculate R2: Compare actual measurement with calculated measurement</t>
  </si>
  <si>
    <t>Numerator</t>
  </si>
  <si>
    <t>Denominator</t>
  </si>
  <si>
    <t>Sum</t>
  </si>
  <si>
    <t xml:space="preserve">      Expand this line Details</t>
  </si>
  <si>
    <t>Moist_Input</t>
  </si>
  <si>
    <t>Moist_Output</t>
  </si>
  <si>
    <t xml:space="preserve">   Transform Base Alignment (INTERNAL)</t>
  </si>
  <si>
    <t xml:space="preserve">   Transform Calibration</t>
  </si>
  <si>
    <t>Input Calibration Coefficients</t>
  </si>
  <si>
    <t>transform from</t>
  </si>
  <si>
    <t>transform to</t>
  </si>
  <si>
    <t>equal to Code</t>
  </si>
  <si>
    <t>Degree (Selected)</t>
  </si>
  <si>
    <t>CODE &gt;</t>
  </si>
  <si>
    <t>Moisture from 0 to 1000 tp</t>
  </si>
  <si>
    <t>Filtered to 0-100 %</t>
  </si>
  <si>
    <t xml:space="preserve">&gt;&gt; </t>
  </si>
  <si>
    <t>Calculation of all possibilites for SVERWEIS()</t>
  </si>
  <si>
    <t>selected Code</t>
  </si>
  <si>
    <t>Format for RGP</t>
  </si>
  <si>
    <t>Format for Plot</t>
  </si>
  <si>
    <t>OUT [Calc]</t>
  </si>
  <si>
    <t>IN</t>
  </si>
  <si>
    <t>OUT [Filt]</t>
  </si>
  <si>
    <t xml:space="preserve">   Plot / RGP</t>
  </si>
  <si>
    <t xml:space="preserve">   Test</t>
  </si>
  <si>
    <r>
      <t xml:space="preserve">Not all moisture is the same. The reason for this is the reference point: While the amount of water is sometimes related to volume when calculating the moisture content, elsewhere it is related to mass. And even if two parties have agreed on the volumetric or gravimetric moisture content, confusion can still arise. This is because the moisture content can be based on both the total volume/total mass and the dry volume/dry mass. Misunderstandings are inevitable. The “Conversion” spreadsheet allows you to convert the various moisture specifications. 
The </t>
    </r>
    <r>
      <rPr>
        <b/>
        <sz val="9"/>
        <color theme="1"/>
        <rFont val="Aptos Narrow"/>
        <family val="2"/>
      </rPr>
      <t>“Conversion”</t>
    </r>
    <r>
      <rPr>
        <sz val="9"/>
        <color theme="1"/>
        <rFont val="Aptos Narrow"/>
        <family val="2"/>
      </rPr>
      <t xml:space="preserve"> spreadsheet allows you to convert between the different moisture definitions, thus avoiding misunderstandings from the outset.</t>
    </r>
  </si>
  <si>
    <r>
      <t xml:space="preserve">When measuring, a physical measurement variable, such as time, is recorded and converted into another measurement variable, such as speed. The conversion is performed using a calibration. Calibration therefore represents the translation from the measurement variable to the output variable.
The same applies to moisture measurement. Here, the measured variable is time, too. Specifically, it is the time required for an electrical pulse to travel a certain distance. Because this travel time is directly related to the water content in the measurement volume, the moisture can be derived from it. The conversion from time to moisture depends on the material to be measured and the presence of air (bulk density). Consequently, at least one reference measurement is required to calibrate the probe. The calibration curve determined then describes the relationship between the measured variable and the moisture as the output variable. 
The calibration curve can be determined and optimized using the </t>
    </r>
    <r>
      <rPr>
        <b/>
        <sz val="9"/>
        <color theme="1"/>
        <rFont val="Aptos Narrow"/>
        <family val="2"/>
      </rPr>
      <t>“Calibration”</t>
    </r>
    <r>
      <rPr>
        <sz val="9"/>
        <color theme="1"/>
        <rFont val="Aptos Narrow"/>
        <family val="2"/>
      </rPr>
      <t xml:space="preserve"> spreadsheet.</t>
    </r>
  </si>
  <si>
    <r>
      <t xml:space="preserve">One important strength of PICO sensors is its capability to measure volumetric moisture for many soil types with with just one calibration. As only variable, the user needs to take the soil density into account, which causes a constant offset to the "Universal Soil" calibration.
The </t>
    </r>
    <r>
      <rPr>
        <b/>
        <sz val="9"/>
        <color theme="1"/>
        <rFont val="Aptos Narrow"/>
        <family val="2"/>
      </rPr>
      <t xml:space="preserve">"Soil Density Correction" </t>
    </r>
    <r>
      <rPr>
        <sz val="9"/>
        <color theme="1"/>
        <rFont val="Aptos Narrow"/>
        <family val="2"/>
      </rPr>
      <t>spread sheet helps you to obtain the correct offset for your soil application.</t>
    </r>
  </si>
  <si>
    <t>Transform Material Calibration</t>
  </si>
  <si>
    <t>Transform
Material Calibration</t>
  </si>
  <si>
    <r>
      <t xml:space="preserve">A material calibration is used to convert the measured tp value into a moisture value. The output can be either volumetric moisture (soil) or gravimetric moisture  (others). Depending on the application, it may be necessary to convert an existing calibration to a different reference, e.g., if soil moisture is to be represented gravimetrically.
After specifying the input reference and the desired output reference, the calibration can be converted using the </t>
    </r>
    <r>
      <rPr>
        <b/>
        <sz val="9"/>
        <color theme="1"/>
        <rFont val="Aptos Narrow"/>
        <family val="2"/>
      </rPr>
      <t>“Transform Material Calibration”</t>
    </r>
    <r>
      <rPr>
        <sz val="9"/>
        <color theme="1"/>
        <rFont val="Aptos Narrow"/>
        <family val="2"/>
      </rPr>
      <t xml:space="preserve"> spreadsheet.</t>
    </r>
  </si>
  <si>
    <r>
      <rPr>
        <i/>
        <sz val="10"/>
        <rFont val="Aptos Narrow"/>
        <family val="2"/>
      </rPr>
      <t>When to use this spreadsheet?</t>
    </r>
    <r>
      <rPr>
        <sz val="10"/>
        <rFont val="Aptos Narrow"/>
        <family val="2"/>
      </rPr>
      <t xml:space="preserve">
Use this spreadsheet to convert a material calibration into another material calibration based on a different reference state, e. g. from volumetric to gravimetric.
</t>
    </r>
    <r>
      <rPr>
        <i/>
        <sz val="10"/>
        <rFont val="Aptos Narrow"/>
        <family val="2"/>
      </rPr>
      <t xml:space="preserve">How to use this spreadsheet?
</t>
    </r>
    <r>
      <rPr>
        <sz val="10"/>
        <rFont val="Aptos Narrow"/>
        <family val="2"/>
      </rPr>
      <t>Adjust the light blue highlighted fields to suit your needs:</t>
    </r>
    <r>
      <rPr>
        <i/>
        <sz val="10"/>
        <rFont val="Aptos Narrow"/>
        <family val="2"/>
      </rPr>
      <t xml:space="preserve">
</t>
    </r>
    <r>
      <rPr>
        <sz val="10"/>
        <rFont val="Aptos Narrow"/>
        <family val="2"/>
      </rPr>
      <t xml:space="preserve">(1) Specify the reference state for the initial material calibration (input) and for the desired output material calibration (output).
(2) Enter the coefficients for the initial material calibration, m0 to m5.
(3) In the Settings section, define the material bulk density and the desired polynomial complexity of the transformed calibration.
</t>
    </r>
  </si>
  <si>
    <t>Aux. Matrix for RGP</t>
  </si>
  <si>
    <t>Tool Box</t>
  </si>
  <si>
    <t xml:space="preserve">  Version: 2026-08   </t>
  </si>
  <si>
    <t xml:space="preserve">   Expand this line for further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</si>
</sst>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0"/>
    <numFmt numFmtId="166" formatCode="0.0000E+00"/>
    <numFmt numFmtId="167" formatCode="0.0"/>
  </numFmts>
  <fonts count="38" x14ac:knownFonts="1">
    <font>
      <sz val="11"/>
      <color theme="1"/>
      <name val="Calibri"/>
      <family val="2"/>
      <scheme val="minor"/>
    </font>
    <font>
      <sz val="11"/>
      <color theme="1"/>
      <name val="Calibri"/>
      <family val="2"/>
      <scheme val="minor"/>
    </font>
    <font>
      <sz val="11"/>
      <color theme="1"/>
      <name val="Aptos Narrow"/>
      <family val="2"/>
    </font>
    <font>
      <b/>
      <sz val="11"/>
      <color theme="1"/>
      <name val="Aptos Narrow"/>
      <family val="2"/>
    </font>
    <font>
      <b/>
      <sz val="20"/>
      <color theme="1"/>
      <name val="Aptos Narrow"/>
      <family val="2"/>
    </font>
    <font>
      <vertAlign val="superscript"/>
      <sz val="11"/>
      <color theme="1"/>
      <name val="Aptos Narrow"/>
      <family val="2"/>
    </font>
    <font>
      <sz val="18"/>
      <color theme="1"/>
      <name val="Aptos Narrow"/>
      <family val="2"/>
    </font>
    <font>
      <sz val="10"/>
      <color theme="2" tint="-0.499984740745262"/>
      <name val="Aptos Narrow"/>
      <family val="2"/>
    </font>
    <font>
      <b/>
      <sz val="10"/>
      <color theme="2" tint="-0.499984740745262"/>
      <name val="Aptos Narrow"/>
      <family val="2"/>
    </font>
    <font>
      <b/>
      <sz val="14"/>
      <color theme="1"/>
      <name val="Calibri"/>
      <family val="2"/>
      <scheme val="minor"/>
    </font>
    <font>
      <sz val="9"/>
      <color theme="1"/>
      <name val="Aptos Narrow"/>
      <family val="2"/>
    </font>
    <font>
      <b/>
      <sz val="9"/>
      <color theme="1"/>
      <name val="Aptos Narrow"/>
      <family val="2"/>
    </font>
    <font>
      <u/>
      <sz val="11"/>
      <color theme="10"/>
      <name val="Calibri"/>
      <family val="2"/>
      <scheme val="minor"/>
    </font>
    <font>
      <b/>
      <i/>
      <sz val="11"/>
      <color theme="1"/>
      <name val="Aptos Narrow"/>
      <family val="2"/>
    </font>
    <font>
      <vertAlign val="superscript"/>
      <sz val="9"/>
      <color theme="1"/>
      <name val="Aptos Narrow"/>
      <family val="2"/>
    </font>
    <font>
      <sz val="9"/>
      <color theme="2" tint="-0.499984740745262"/>
      <name val="Aptos Narrow"/>
      <family val="2"/>
    </font>
    <font>
      <vertAlign val="superscript"/>
      <sz val="9"/>
      <color theme="2" tint="-0.499984740745262"/>
      <name val="Aptos Narrow"/>
      <family val="2"/>
    </font>
    <font>
      <sz val="8"/>
      <color theme="0"/>
      <name val="Aptos Narrow"/>
      <family val="2"/>
    </font>
    <font>
      <sz val="11"/>
      <color theme="0"/>
      <name val="Aptos Narrow"/>
      <family val="2"/>
    </font>
    <font>
      <sz val="10"/>
      <name val="Aptos Narrow"/>
      <family val="2"/>
    </font>
    <font>
      <sz val="10"/>
      <color theme="0"/>
      <name val="Aptos Narrow"/>
      <family val="2"/>
    </font>
    <font>
      <i/>
      <sz val="10"/>
      <name val="Aptos Narrow"/>
      <family val="2"/>
    </font>
    <font>
      <sz val="14"/>
      <color theme="1"/>
      <name val="Aptos Narrow"/>
      <family val="2"/>
    </font>
    <font>
      <sz val="22"/>
      <color theme="1"/>
      <name val="Aptos Narrow"/>
      <family val="2"/>
    </font>
    <font>
      <sz val="11"/>
      <color theme="0" tint="-0.499984740745262"/>
      <name val="Aptos Narrow"/>
      <family val="2"/>
    </font>
    <font>
      <sz val="11"/>
      <color theme="1"/>
      <name val="Aptos"/>
      <family val="2"/>
      <charset val="1"/>
    </font>
    <font>
      <sz val="9"/>
      <name val="Aptos Narrow"/>
      <family val="2"/>
    </font>
    <font>
      <vertAlign val="subscript"/>
      <sz val="9"/>
      <color theme="2" tint="-0.499984740745262"/>
      <name val="Aptos Narrow"/>
      <family val="2"/>
    </font>
    <font>
      <sz val="8"/>
      <color theme="2" tint="-0.499984740745262"/>
      <name val="Aptos Narrow"/>
      <family val="2"/>
    </font>
    <font>
      <sz val="11"/>
      <name val="Calibri"/>
      <family val="2"/>
      <scheme val="minor"/>
    </font>
    <font>
      <vertAlign val="subscript"/>
      <sz val="9"/>
      <name val="Aptos Narrow"/>
      <family val="2"/>
    </font>
    <font>
      <sz val="8"/>
      <name val="Calibri"/>
      <family val="2"/>
      <scheme val="minor"/>
    </font>
    <font>
      <sz val="11"/>
      <color rgb="FF595959"/>
      <name val="Aptos Narrow"/>
      <family val="2"/>
    </font>
    <font>
      <i/>
      <sz val="11"/>
      <color rgb="FF595959"/>
      <name val="Aptos Narrow"/>
      <family val="2"/>
    </font>
    <font>
      <sz val="11"/>
      <color theme="1" tint="0.249977111117893"/>
      <name val="Aptos Narrow"/>
      <family val="2"/>
    </font>
    <font>
      <sz val="11"/>
      <color rgb="FF007CAA"/>
      <name val="Aptos Narrow"/>
      <family val="2"/>
    </font>
    <font>
      <sz val="12"/>
      <color theme="1"/>
      <name val="Aptos Narrow"/>
      <family val="2"/>
    </font>
    <font>
      <b/>
      <sz val="14"/>
      <color theme="0"/>
      <name val="Calibri"/>
      <family val="2"/>
      <scheme val="minor"/>
    </font>
  </fonts>
  <fills count="15">
    <fill>
      <patternFill patternType="none"/>
    </fill>
    <fill>
      <patternFill patternType="gray125"/>
    </fill>
    <fill>
      <patternFill patternType="solid">
        <fgColor theme="0" tint="-0.249977111117893"/>
        <bgColor indexed="64"/>
      </patternFill>
    </fill>
    <fill>
      <patternFill patternType="solid">
        <fgColor rgb="FF007CAA"/>
        <bgColor indexed="64"/>
      </patternFill>
    </fill>
    <fill>
      <patternFill patternType="solid">
        <fgColor rgb="FFBDEEFF"/>
        <bgColor indexed="64"/>
      </patternFill>
    </fill>
    <fill>
      <patternFill patternType="solid">
        <fgColor rgb="FFE5F8FF"/>
        <bgColor indexed="64"/>
      </patternFill>
    </fill>
    <fill>
      <patternFill patternType="solid">
        <fgColor rgb="FFFBFBFB"/>
        <bgColor indexed="64"/>
      </patternFill>
    </fill>
    <fill>
      <patternFill patternType="solid">
        <fgColor rgb="FFF5F5F5"/>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25">
    <border>
      <left/>
      <right/>
      <top/>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tint="-0.14999847407452621"/>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12" fillId="0" borderId="0" applyNumberFormat="0" applyFill="0" applyBorder="0" applyAlignment="0" applyProtection="0"/>
  </cellStyleXfs>
  <cellXfs count="250">
    <xf numFmtId="0" fontId="0" fillId="0" borderId="0" xfId="0"/>
    <xf numFmtId="0" fontId="2" fillId="0" borderId="0" xfId="0" applyFont="1"/>
    <xf numFmtId="0" fontId="2" fillId="6" borderId="0" xfId="0" applyFont="1" applyFill="1"/>
    <xf numFmtId="0" fontId="2" fillId="6" borderId="0" xfId="0" applyFont="1" applyFill="1" applyAlignment="1">
      <alignment horizontal="center" vertical="center"/>
    </xf>
    <xf numFmtId="0" fontId="2" fillId="6" borderId="3" xfId="0" applyFont="1" applyFill="1" applyBorder="1"/>
    <xf numFmtId="0" fontId="3" fillId="5" borderId="0" xfId="0" applyFont="1" applyFill="1" applyAlignment="1">
      <alignment horizontal="center" vertical="center"/>
    </xf>
    <xf numFmtId="0" fontId="2" fillId="5" borderId="0" xfId="0" applyFont="1" applyFill="1" applyAlignment="1">
      <alignment horizontal="center" vertical="center"/>
    </xf>
    <xf numFmtId="0" fontId="2" fillId="5" borderId="4" xfId="0" applyFont="1" applyFill="1" applyBorder="1" applyAlignment="1">
      <alignment horizontal="center" vertical="center"/>
    </xf>
    <xf numFmtId="2" fontId="2" fillId="6" borderId="0" xfId="1" applyNumberFormat="1" applyFont="1" applyFill="1" applyBorder="1" applyAlignment="1">
      <alignment horizontal="center" vertical="center"/>
    </xf>
    <xf numFmtId="0" fontId="3" fillId="6" borderId="0" xfId="0" applyFont="1" applyFill="1" applyAlignment="1">
      <alignment horizontal="center" vertical="center"/>
    </xf>
    <xf numFmtId="0" fontId="2" fillId="7" borderId="0" xfId="0" applyFont="1" applyFill="1" applyAlignment="1">
      <alignment horizontal="center" vertical="center"/>
    </xf>
    <xf numFmtId="0" fontId="2" fillId="3" borderId="0" xfId="0" applyFont="1" applyFill="1"/>
    <xf numFmtId="0" fontId="3" fillId="7" borderId="0" xfId="0" applyFont="1" applyFill="1" applyAlignment="1">
      <alignment horizontal="center" vertical="center"/>
    </xf>
    <xf numFmtId="0" fontId="10" fillId="6" borderId="0" xfId="0" applyFont="1" applyFill="1" applyAlignment="1">
      <alignment horizontal="right"/>
    </xf>
    <xf numFmtId="2" fontId="10" fillId="6" borderId="0" xfId="0" applyNumberFormat="1" applyFont="1" applyFill="1" applyAlignment="1">
      <alignment horizontal="left"/>
    </xf>
    <xf numFmtId="0" fontId="15" fillId="6" borderId="0" xfId="0" applyFont="1" applyFill="1" applyAlignment="1">
      <alignment horizontal="left" vertical="center"/>
    </xf>
    <xf numFmtId="2" fontId="15" fillId="6" borderId="0" xfId="1" applyNumberFormat="1" applyFont="1" applyFill="1" applyBorder="1" applyAlignment="1">
      <alignment horizontal="center" vertical="center"/>
    </xf>
    <xf numFmtId="2" fontId="15" fillId="6" borderId="0" xfId="1" applyNumberFormat="1" applyFont="1" applyFill="1" applyBorder="1" applyAlignment="1">
      <alignment horizontal="left" vertical="center"/>
    </xf>
    <xf numFmtId="0" fontId="10" fillId="6" borderId="0" xfId="0" applyFont="1" applyFill="1"/>
    <xf numFmtId="10" fontId="6" fillId="6" borderId="0" xfId="0" applyNumberFormat="1" applyFont="1" applyFill="1" applyAlignment="1">
      <alignment vertical="center"/>
    </xf>
    <xf numFmtId="10" fontId="6" fillId="7" borderId="0" xfId="0" applyNumberFormat="1" applyFont="1" applyFill="1" applyAlignment="1">
      <alignment vertical="center"/>
    </xf>
    <xf numFmtId="0" fontId="2" fillId="3" borderId="0" xfId="0" applyFont="1" applyFill="1" applyAlignment="1">
      <alignment vertical="center"/>
    </xf>
    <xf numFmtId="0" fontId="2" fillId="4" borderId="8" xfId="0" applyFont="1" applyFill="1" applyBorder="1" applyAlignment="1" applyProtection="1">
      <alignment horizontal="center" vertical="center"/>
      <protection locked="0"/>
    </xf>
    <xf numFmtId="0" fontId="13" fillId="7" borderId="0" xfId="2" applyFont="1" applyFill="1" applyAlignment="1" applyProtection="1">
      <alignment horizontal="center" vertical="center" wrapText="1"/>
      <protection locked="0"/>
    </xf>
    <xf numFmtId="0" fontId="13" fillId="7" borderId="0" xfId="2" applyFont="1" applyFill="1" applyAlignment="1" applyProtection="1">
      <alignment horizontal="center" vertical="center"/>
      <protection locked="0"/>
    </xf>
    <xf numFmtId="0" fontId="20" fillId="0" borderId="0" xfId="0" applyFont="1" applyAlignment="1">
      <alignment vertical="top"/>
    </xf>
    <xf numFmtId="164" fontId="2" fillId="6" borderId="0" xfId="0" applyNumberFormat="1" applyFont="1" applyFill="1" applyAlignment="1">
      <alignment horizontal="center" vertical="center"/>
    </xf>
    <xf numFmtId="2" fontId="2" fillId="6" borderId="0" xfId="1" applyNumberFormat="1" applyFont="1" applyFill="1" applyBorder="1" applyAlignment="1" applyProtection="1">
      <alignment horizontal="center" vertical="center"/>
    </xf>
    <xf numFmtId="0" fontId="24" fillId="6" borderId="0" xfId="0" applyFont="1" applyFill="1" applyAlignment="1">
      <alignment horizontal="left" vertical="center"/>
    </xf>
    <xf numFmtId="0" fontId="24" fillId="6" borderId="0" xfId="0" applyFont="1" applyFill="1" applyAlignment="1">
      <alignment horizontal="center" vertical="center"/>
    </xf>
    <xf numFmtId="0" fontId="15" fillId="6" borderId="16" xfId="0" applyFont="1" applyFill="1" applyBorder="1" applyAlignment="1">
      <alignment horizontal="center" vertical="center"/>
    </xf>
    <xf numFmtId="0" fontId="15" fillId="6" borderId="17" xfId="0" applyFont="1" applyFill="1" applyBorder="1" applyAlignment="1">
      <alignment horizontal="center" vertical="center"/>
    </xf>
    <xf numFmtId="0" fontId="2" fillId="4" borderId="19" xfId="0" applyFont="1" applyFill="1" applyBorder="1" applyAlignment="1" applyProtection="1">
      <alignment horizontal="center" vertical="center"/>
      <protection locked="0"/>
    </xf>
    <xf numFmtId="0" fontId="19" fillId="0" borderId="0" xfId="0" applyFont="1" applyAlignment="1">
      <alignment vertical="top" wrapText="1"/>
    </xf>
    <xf numFmtId="0" fontId="2" fillId="6" borderId="8" xfId="0" applyFont="1" applyFill="1" applyBorder="1" applyAlignment="1">
      <alignment horizontal="center" vertical="center"/>
    </xf>
    <xf numFmtId="0" fontId="2" fillId="4" borderId="10" xfId="0" applyFont="1" applyFill="1" applyBorder="1" applyAlignment="1" applyProtection="1">
      <alignment horizontal="center" vertical="center"/>
      <protection locked="0"/>
    </xf>
    <xf numFmtId="0" fontId="2" fillId="6" borderId="5"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9" borderId="4" xfId="0" applyFont="1" applyFill="1" applyBorder="1" applyAlignment="1">
      <alignment horizontal="center" vertical="center"/>
    </xf>
    <xf numFmtId="0" fontId="2" fillId="7" borderId="11"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2" xfId="0" applyFont="1" applyFill="1" applyBorder="1" applyAlignment="1">
      <alignment horizontal="center" vertical="center"/>
    </xf>
    <xf numFmtId="2" fontId="2" fillId="7" borderId="3" xfId="0" applyNumberFormat="1" applyFont="1" applyFill="1" applyBorder="1" applyAlignment="1">
      <alignment horizontal="center" vertical="center"/>
    </xf>
    <xf numFmtId="0" fontId="25" fillId="7" borderId="13" xfId="0" applyFont="1" applyFill="1" applyBorder="1" applyAlignment="1">
      <alignment horizontal="center" vertical="center"/>
    </xf>
    <xf numFmtId="0" fontId="2" fillId="4" borderId="14" xfId="0" applyFont="1" applyFill="1" applyBorder="1" applyAlignment="1" applyProtection="1">
      <alignment horizontal="center" vertical="center"/>
      <protection locked="0"/>
    </xf>
    <xf numFmtId="164" fontId="10" fillId="6" borderId="0" xfId="0" applyNumberFormat="1" applyFont="1" applyFill="1" applyAlignment="1">
      <alignment horizontal="left" vertical="center"/>
    </xf>
    <xf numFmtId="0" fontId="10" fillId="6" borderId="0" xfId="0" applyFont="1" applyFill="1" applyAlignment="1">
      <alignment horizontal="right" vertical="center"/>
    </xf>
    <xf numFmtId="0" fontId="2" fillId="6" borderId="2" xfId="0" applyFont="1" applyFill="1" applyBorder="1" applyAlignment="1">
      <alignment vertical="center"/>
    </xf>
    <xf numFmtId="0" fontId="2" fillId="6" borderId="19" xfId="0" applyFont="1" applyFill="1" applyBorder="1" applyAlignment="1">
      <alignment horizontal="center" vertical="center"/>
    </xf>
    <xf numFmtId="2" fontId="2" fillId="6" borderId="0" xfId="0" applyNumberFormat="1" applyFont="1" applyFill="1"/>
    <xf numFmtId="0" fontId="32" fillId="6" borderId="0" xfId="0" applyFont="1" applyFill="1" applyAlignment="1">
      <alignment horizontal="center" vertical="center"/>
    </xf>
    <xf numFmtId="2" fontId="2" fillId="6" borderId="0" xfId="0" applyNumberFormat="1" applyFont="1" applyFill="1" applyAlignment="1">
      <alignment horizontal="center" vertical="center"/>
    </xf>
    <xf numFmtId="0" fontId="25" fillId="6" borderId="0" xfId="0" applyFont="1" applyFill="1" applyAlignment="1">
      <alignment horizontal="center" vertical="center"/>
    </xf>
    <xf numFmtId="0" fontId="33" fillId="5" borderId="0" xfId="0" applyFont="1" applyFill="1" applyAlignment="1">
      <alignment horizontal="center" vertical="center"/>
    </xf>
    <xf numFmtId="0" fontId="34" fillId="4" borderId="0" xfId="0" applyFont="1" applyFill="1" applyAlignment="1" applyProtection="1">
      <alignment horizontal="center" vertical="center"/>
      <protection locked="0"/>
    </xf>
    <xf numFmtId="10" fontId="18" fillId="10" borderId="0" xfId="1" applyNumberFormat="1" applyFont="1" applyFill="1" applyAlignment="1" applyProtection="1">
      <alignment horizontal="center" vertical="center"/>
    </xf>
    <xf numFmtId="10" fontId="18" fillId="3" borderId="0" xfId="1" applyNumberFormat="1" applyFont="1" applyFill="1" applyAlignment="1" applyProtection="1">
      <alignment horizontal="center" vertical="center"/>
    </xf>
    <xf numFmtId="164" fontId="2" fillId="8" borderId="6" xfId="0" applyNumberFormat="1" applyFont="1" applyFill="1" applyBorder="1" applyAlignment="1">
      <alignment horizontal="center" vertical="center"/>
    </xf>
    <xf numFmtId="164" fontId="2" fillId="8" borderId="7" xfId="0" applyNumberFormat="1" applyFont="1" applyFill="1" applyBorder="1" applyAlignment="1">
      <alignment horizontal="center" vertical="center"/>
    </xf>
    <xf numFmtId="0" fontId="0" fillId="11" borderId="0" xfId="0" applyFill="1"/>
    <xf numFmtId="0" fontId="9" fillId="0" borderId="0" xfId="0" applyFont="1"/>
    <xf numFmtId="0" fontId="0" fillId="12" borderId="0" xfId="0" applyFill="1"/>
    <xf numFmtId="2" fontId="0" fillId="0" borderId="0" xfId="0" applyNumberFormat="1" applyAlignment="1">
      <alignment horizontal="center" vertical="center"/>
    </xf>
    <xf numFmtId="2" fontId="0" fillId="0" borderId="0" xfId="0" applyNumberFormat="1" applyAlignment="1">
      <alignment horizontal="center"/>
    </xf>
    <xf numFmtId="0" fontId="0" fillId="0" borderId="0" xfId="0" applyAlignment="1">
      <alignment horizontal="center"/>
    </xf>
    <xf numFmtId="0" fontId="29" fillId="0" borderId="0" xfId="0" applyFont="1" applyAlignment="1">
      <alignment horizontal="center"/>
    </xf>
    <xf numFmtId="0" fontId="29" fillId="0" borderId="0" xfId="0" applyFont="1"/>
    <xf numFmtId="2" fontId="29" fillId="0" borderId="0" xfId="0" applyNumberFormat="1" applyFont="1" applyAlignment="1">
      <alignment horizontal="center" vertical="center"/>
    </xf>
    <xf numFmtId="0" fontId="29" fillId="8" borderId="0" xfId="0" applyFont="1" applyFill="1" applyAlignment="1">
      <alignment horizontal="center"/>
    </xf>
    <xf numFmtId="2" fontId="0" fillId="8" borderId="0" xfId="0" applyNumberFormat="1" applyFill="1" applyAlignment="1">
      <alignment horizontal="center" vertical="center"/>
    </xf>
    <xf numFmtId="9" fontId="0" fillId="0" borderId="0" xfId="1" applyFont="1" applyAlignment="1" applyProtection="1">
      <alignment horizontal="center" vertical="center"/>
    </xf>
    <xf numFmtId="9" fontId="0" fillId="0" borderId="0" xfId="1" applyFont="1" applyAlignment="1" applyProtection="1">
      <alignment horizontal="center"/>
    </xf>
    <xf numFmtId="0" fontId="0" fillId="0" borderId="0" xfId="0" applyAlignment="1">
      <alignment horizontal="center" vertical="center"/>
    </xf>
    <xf numFmtId="0" fontId="0" fillId="0" borderId="3"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4" xfId="0" applyBorder="1" applyAlignment="1">
      <alignment horizont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xf>
    <xf numFmtId="2" fontId="0" fillId="0" borderId="5" xfId="1" applyNumberFormat="1" applyFont="1" applyBorder="1" applyAlignment="1" applyProtection="1">
      <alignment horizontal="center"/>
    </xf>
    <xf numFmtId="0" fontId="0" fillId="0" borderId="5" xfId="0" applyBorder="1" applyAlignment="1">
      <alignment horizontal="center" vertical="center"/>
    </xf>
    <xf numFmtId="164" fontId="0" fillId="0" borderId="11" xfId="0" applyNumberFormat="1" applyBorder="1" applyAlignment="1">
      <alignment horizontal="center" vertical="center"/>
    </xf>
    <xf numFmtId="10" fontId="0" fillId="0" borderId="0" xfId="1" applyNumberFormat="1" applyFont="1" applyAlignment="1" applyProtection="1">
      <alignment horizontal="center"/>
    </xf>
    <xf numFmtId="0" fontId="0" fillId="0" borderId="11" xfId="0" applyBorder="1"/>
    <xf numFmtId="1" fontId="0" fillId="0" borderId="5" xfId="0" applyNumberFormat="1" applyBorder="1" applyAlignment="1">
      <alignment horizontal="center" vertical="center"/>
    </xf>
    <xf numFmtId="0" fontId="0" fillId="0" borderId="12" xfId="0" applyBorder="1" applyAlignment="1">
      <alignment horizontal="center"/>
    </xf>
    <xf numFmtId="2" fontId="0" fillId="0" borderId="13" xfId="1" applyNumberFormat="1" applyFont="1" applyBorder="1" applyAlignment="1" applyProtection="1">
      <alignment horizontal="center"/>
    </xf>
    <xf numFmtId="0" fontId="0" fillId="0" borderId="12" xfId="0" applyBorder="1"/>
    <xf numFmtId="1" fontId="0" fillId="0" borderId="13" xfId="0" applyNumberFormat="1"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13" xfId="0" applyBorder="1" applyAlignment="1">
      <alignment horizontal="center" vertical="center"/>
    </xf>
    <xf numFmtId="0" fontId="0" fillId="8" borderId="0" xfId="0" applyFill="1" applyAlignment="1">
      <alignment horizontal="center" vertical="center"/>
    </xf>
    <xf numFmtId="0" fontId="0" fillId="8" borderId="0" xfId="0" applyFill="1" applyAlignment="1">
      <alignment horizontal="center"/>
    </xf>
    <xf numFmtId="1" fontId="0" fillId="0" borderId="0" xfId="0" applyNumberFormat="1" applyAlignment="1">
      <alignment horizontal="center"/>
    </xf>
    <xf numFmtId="2" fontId="0" fillId="0" borderId="5" xfId="0" applyNumberFormat="1" applyBorder="1" applyAlignment="1">
      <alignment horizontal="center"/>
    </xf>
    <xf numFmtId="2" fontId="0" fillId="0" borderId="13" xfId="0" applyNumberFormat="1" applyBorder="1" applyAlignment="1">
      <alignment horizontal="center"/>
    </xf>
    <xf numFmtId="164" fontId="0" fillId="0" borderId="0" xfId="0" applyNumberFormat="1" applyAlignment="1">
      <alignment horizontal="center"/>
    </xf>
    <xf numFmtId="0" fontId="37" fillId="0" borderId="0" xfId="0" applyFont="1" applyAlignment="1">
      <alignment vertical="center"/>
    </xf>
    <xf numFmtId="0" fontId="17" fillId="0" borderId="0" xfId="0" applyFont="1" applyAlignment="1">
      <alignment horizontal="left" vertical="center"/>
    </xf>
    <xf numFmtId="0" fontId="18" fillId="0" borderId="0" xfId="0" applyFont="1" applyAlignment="1">
      <alignment horizontal="left" vertical="center"/>
    </xf>
    <xf numFmtId="0" fontId="0" fillId="0" borderId="0" xfId="0" applyAlignment="1">
      <alignment horizontal="right"/>
    </xf>
    <xf numFmtId="2" fontId="0" fillId="0" borderId="0" xfId="0" applyNumberFormat="1"/>
    <xf numFmtId="0" fontId="2" fillId="0" borderId="0" xfId="0" applyFont="1" applyAlignment="1">
      <alignment horizontal="center"/>
    </xf>
    <xf numFmtId="0" fontId="29" fillId="0" borderId="8" xfId="0" applyFont="1" applyBorder="1" applyAlignment="1">
      <alignment horizontal="center"/>
    </xf>
    <xf numFmtId="0" fontId="0" fillId="0" borderId="7" xfId="0" applyBorder="1" applyAlignment="1">
      <alignment horizontal="center"/>
    </xf>
    <xf numFmtId="0" fontId="0" fillId="0" borderId="14" xfId="0" applyBorder="1" applyAlignment="1">
      <alignment horizontal="center"/>
    </xf>
    <xf numFmtId="0" fontId="0" fillId="0" borderId="8" xfId="0" applyBorder="1" applyAlignment="1">
      <alignment horizontal="right"/>
    </xf>
    <xf numFmtId="2" fontId="0" fillId="0" borderId="6" xfId="0" applyNumberFormat="1" applyBorder="1" applyAlignment="1">
      <alignment horizontal="center" vertical="center"/>
    </xf>
    <xf numFmtId="2" fontId="0" fillId="0" borderId="7" xfId="0" applyNumberFormat="1" applyBorder="1" applyAlignment="1">
      <alignment horizontal="center" vertical="center"/>
    </xf>
    <xf numFmtId="1" fontId="0" fillId="0" borderId="11" xfId="0" applyNumberFormat="1" applyBorder="1" applyAlignment="1">
      <alignment horizontal="center"/>
    </xf>
    <xf numFmtId="2" fontId="0" fillId="0" borderId="5" xfId="0" applyNumberFormat="1" applyBorder="1" applyAlignment="1">
      <alignment horizontal="center" vertical="center"/>
    </xf>
    <xf numFmtId="165" fontId="0" fillId="0" borderId="0" xfId="0" applyNumberFormat="1" applyAlignment="1">
      <alignment horizontal="center"/>
    </xf>
    <xf numFmtId="0" fontId="0" fillId="0" borderId="5" xfId="0" applyBorder="1"/>
    <xf numFmtId="1" fontId="0" fillId="0" borderId="12" xfId="0" applyNumberFormat="1" applyBorder="1" applyAlignment="1">
      <alignment horizontal="center"/>
    </xf>
    <xf numFmtId="2" fontId="0" fillId="0" borderId="13" xfId="0" applyNumberFormat="1" applyBorder="1" applyAlignment="1">
      <alignment horizontal="center" vertical="center"/>
    </xf>
    <xf numFmtId="0" fontId="0" fillId="0" borderId="13" xfId="0" applyBorder="1"/>
    <xf numFmtId="165" fontId="0" fillId="0" borderId="3" xfId="0" applyNumberFormat="1" applyBorder="1" applyAlignment="1">
      <alignment horizontal="center"/>
    </xf>
    <xf numFmtId="0" fontId="0" fillId="0" borderId="3" xfId="0" applyBorder="1"/>
    <xf numFmtId="0" fontId="0" fillId="0" borderId="22" xfId="0" applyBorder="1" applyAlignment="1">
      <alignment horizontal="center"/>
    </xf>
    <xf numFmtId="0" fontId="0" fillId="0" borderId="10" xfId="0" applyBorder="1"/>
    <xf numFmtId="0" fontId="0" fillId="0" borderId="4" xfId="0" applyBorder="1"/>
    <xf numFmtId="1" fontId="0" fillId="0" borderId="11" xfId="0" applyNumberFormat="1" applyBorder="1" applyAlignment="1">
      <alignment horizontal="center" vertical="center"/>
    </xf>
    <xf numFmtId="2" fontId="0" fillId="0" borderId="23" xfId="0" applyNumberFormat="1" applyBorder="1" applyAlignment="1">
      <alignment horizontal="center" vertical="center"/>
    </xf>
    <xf numFmtId="1" fontId="0" fillId="0" borderId="12" xfId="0" applyNumberFormat="1" applyBorder="1" applyAlignment="1">
      <alignment horizontal="center" vertical="center"/>
    </xf>
    <xf numFmtId="2" fontId="0" fillId="0" borderId="24" xfId="0" applyNumberFormat="1" applyBorder="1" applyAlignment="1">
      <alignment horizontal="center" vertical="center"/>
    </xf>
    <xf numFmtId="2" fontId="0" fillId="0" borderId="3" xfId="0" applyNumberFormat="1" applyBorder="1" applyAlignment="1">
      <alignment horizontal="center" vertical="center"/>
    </xf>
    <xf numFmtId="167" fontId="0" fillId="0" borderId="0" xfId="0" applyNumberFormat="1" applyAlignment="1">
      <alignment horizontal="center" vertical="center"/>
    </xf>
    <xf numFmtId="0" fontId="2" fillId="4" borderId="7" xfId="0" applyFont="1" applyFill="1" applyBorder="1" applyAlignment="1" applyProtection="1">
      <alignment horizontal="center" vertical="center"/>
      <protection locked="0"/>
    </xf>
    <xf numFmtId="0" fontId="4" fillId="2" borderId="0" xfId="0" applyFont="1" applyFill="1" applyAlignment="1">
      <alignment horizontal="center" vertical="center"/>
    </xf>
    <xf numFmtId="0" fontId="10" fillId="7" borderId="0" xfId="0" applyFont="1" applyFill="1" applyAlignment="1">
      <alignment horizontal="left" vertical="top" wrapText="1"/>
    </xf>
    <xf numFmtId="0" fontId="17" fillId="3" borderId="0" xfId="0" applyFont="1" applyFill="1" applyAlignment="1">
      <alignment horizontal="left" vertical="center"/>
    </xf>
    <xf numFmtId="0" fontId="3" fillId="6" borderId="0" xfId="0" applyFont="1" applyFill="1" applyAlignment="1">
      <alignment horizontal="center" vertical="center"/>
    </xf>
    <xf numFmtId="0" fontId="19" fillId="0" borderId="0" xfId="0" applyFont="1" applyAlignment="1">
      <alignment horizontal="left" vertical="top" wrapText="1"/>
    </xf>
    <xf numFmtId="0" fontId="8" fillId="6" borderId="0" xfId="0" applyFont="1" applyFill="1" applyAlignment="1">
      <alignment horizontal="left" vertical="center"/>
    </xf>
    <xf numFmtId="0" fontId="18" fillId="3" borderId="0" xfId="0" applyFont="1" applyFill="1" applyAlignment="1">
      <alignment horizontal="left" vertical="center"/>
    </xf>
    <xf numFmtId="0" fontId="20" fillId="0" borderId="0" xfId="0" applyFont="1" applyAlignment="1">
      <alignment horizontal="left" vertical="top"/>
    </xf>
    <xf numFmtId="0" fontId="3" fillId="9" borderId="0" xfId="0" applyFont="1" applyFill="1" applyAlignment="1">
      <alignment horizontal="center" vertical="center"/>
    </xf>
    <xf numFmtId="0" fontId="2" fillId="4" borderId="8"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15" fillId="6" borderId="15" xfId="0" applyFont="1" applyFill="1" applyBorder="1" applyAlignment="1">
      <alignment horizontal="center" vertical="center"/>
    </xf>
    <xf numFmtId="0" fontId="15" fillId="6" borderId="0" xfId="0" applyFont="1" applyFill="1" applyAlignment="1">
      <alignment horizontal="center" vertical="center"/>
    </xf>
    <xf numFmtId="10" fontId="6" fillId="8" borderId="9" xfId="0" applyNumberFormat="1" applyFont="1" applyFill="1" applyBorder="1" applyAlignment="1">
      <alignment horizontal="center" vertical="center"/>
    </xf>
    <xf numFmtId="10" fontId="6" fillId="8" borderId="10" xfId="0" applyNumberFormat="1" applyFont="1" applyFill="1" applyBorder="1" applyAlignment="1">
      <alignment horizontal="center" vertical="center"/>
    </xf>
    <xf numFmtId="10" fontId="6" fillId="8" borderId="4" xfId="0" applyNumberFormat="1" applyFont="1" applyFill="1" applyBorder="1" applyAlignment="1">
      <alignment horizontal="center" vertical="center"/>
    </xf>
    <xf numFmtId="10" fontId="6" fillId="8" borderId="12" xfId="0" applyNumberFormat="1" applyFont="1" applyFill="1" applyBorder="1" applyAlignment="1">
      <alignment horizontal="center" vertical="center"/>
    </xf>
    <xf numFmtId="10" fontId="6" fillId="8" borderId="3" xfId="0" applyNumberFormat="1" applyFont="1" applyFill="1" applyBorder="1" applyAlignment="1">
      <alignment horizontal="center" vertical="center"/>
    </xf>
    <xf numFmtId="10" fontId="6" fillId="8" borderId="13" xfId="0" applyNumberFormat="1" applyFont="1" applyFill="1" applyBorder="1" applyAlignment="1">
      <alignment horizontal="center" vertical="center"/>
    </xf>
    <xf numFmtId="10" fontId="6" fillId="4" borderId="9" xfId="0" applyNumberFormat="1" applyFont="1" applyFill="1" applyBorder="1" applyAlignment="1" applyProtection="1">
      <alignment horizontal="center" vertical="center"/>
      <protection locked="0"/>
    </xf>
    <xf numFmtId="10" fontId="6" fillId="4" borderId="10" xfId="0" applyNumberFormat="1" applyFont="1" applyFill="1" applyBorder="1" applyAlignment="1" applyProtection="1">
      <alignment horizontal="center" vertical="center"/>
      <protection locked="0"/>
    </xf>
    <xf numFmtId="10" fontId="6" fillId="4" borderId="4" xfId="0" applyNumberFormat="1" applyFont="1" applyFill="1" applyBorder="1" applyAlignment="1" applyProtection="1">
      <alignment horizontal="center" vertical="center"/>
      <protection locked="0"/>
    </xf>
    <xf numFmtId="10" fontId="6" fillId="4" borderId="12" xfId="0" applyNumberFormat="1" applyFont="1" applyFill="1" applyBorder="1" applyAlignment="1" applyProtection="1">
      <alignment horizontal="center" vertical="center"/>
      <protection locked="0"/>
    </xf>
    <xf numFmtId="10" fontId="6" fillId="4" borderId="3" xfId="0" applyNumberFormat="1" applyFont="1" applyFill="1" applyBorder="1" applyAlignment="1" applyProtection="1">
      <alignment horizontal="center" vertical="center"/>
      <protection locked="0"/>
    </xf>
    <xf numFmtId="10" fontId="6" fillId="4" borderId="13" xfId="0" applyNumberFormat="1" applyFont="1" applyFill="1" applyBorder="1" applyAlignment="1" applyProtection="1">
      <alignment horizontal="center" vertical="center"/>
      <protection locked="0"/>
    </xf>
    <xf numFmtId="2" fontId="8" fillId="6" borderId="0" xfId="1" applyNumberFormat="1" applyFont="1" applyFill="1" applyBorder="1" applyAlignment="1">
      <alignment horizontal="center" vertical="center"/>
    </xf>
    <xf numFmtId="0" fontId="28" fillId="6" borderId="0" xfId="0" applyFont="1" applyFill="1" applyAlignment="1">
      <alignment horizontal="center" vertical="center"/>
    </xf>
    <xf numFmtId="0" fontId="15" fillId="0" borderId="0" xfId="0" applyFont="1" applyAlignment="1">
      <alignment horizontal="center" vertical="center"/>
    </xf>
    <xf numFmtId="2" fontId="22" fillId="7" borderId="9" xfId="0" applyNumberFormat="1" applyFont="1" applyFill="1" applyBorder="1" applyAlignment="1">
      <alignment horizontal="center" vertical="center" wrapText="1"/>
    </xf>
    <xf numFmtId="2" fontId="22" fillId="7" borderId="10" xfId="0" applyNumberFormat="1" applyFont="1" applyFill="1" applyBorder="1" applyAlignment="1">
      <alignment horizontal="center" vertical="center" wrapText="1"/>
    </xf>
    <xf numFmtId="2" fontId="22" fillId="7" borderId="4" xfId="0" applyNumberFormat="1" applyFont="1" applyFill="1" applyBorder="1" applyAlignment="1">
      <alignment horizontal="center" vertical="center" wrapText="1"/>
    </xf>
    <xf numFmtId="2" fontId="22" fillId="7" borderId="11" xfId="0" applyNumberFormat="1" applyFont="1" applyFill="1" applyBorder="1" applyAlignment="1">
      <alignment horizontal="center" vertical="center" wrapText="1"/>
    </xf>
    <xf numFmtId="2" fontId="22" fillId="7" borderId="0" xfId="0" applyNumberFormat="1" applyFont="1" applyFill="1" applyAlignment="1">
      <alignment horizontal="center" vertical="center" wrapText="1"/>
    </xf>
    <xf numFmtId="2" fontId="22" fillId="7" borderId="5" xfId="0" applyNumberFormat="1" applyFont="1" applyFill="1" applyBorder="1" applyAlignment="1">
      <alignment horizontal="center" vertical="center" wrapText="1"/>
    </xf>
    <xf numFmtId="2" fontId="22" fillId="7" borderId="12" xfId="0" applyNumberFormat="1" applyFont="1" applyFill="1" applyBorder="1" applyAlignment="1">
      <alignment horizontal="center" vertical="center" wrapText="1"/>
    </xf>
    <xf numFmtId="2" fontId="22" fillId="7" borderId="3" xfId="0" applyNumberFormat="1" applyFont="1" applyFill="1" applyBorder="1" applyAlignment="1">
      <alignment horizontal="center" vertical="center" wrapText="1"/>
    </xf>
    <xf numFmtId="2" fontId="22" fillId="7" borderId="13" xfId="0" applyNumberFormat="1" applyFont="1" applyFill="1" applyBorder="1" applyAlignment="1">
      <alignment horizontal="center" vertical="center" wrapText="1"/>
    </xf>
    <xf numFmtId="0" fontId="24" fillId="6" borderId="0" xfId="0" applyFont="1" applyFill="1" applyAlignment="1">
      <alignment horizontal="left" vertical="center"/>
    </xf>
    <xf numFmtId="2" fontId="23" fillId="8" borderId="9" xfId="0" applyNumberFormat="1" applyFont="1" applyFill="1" applyBorder="1" applyAlignment="1">
      <alignment horizontal="center" vertical="center"/>
    </xf>
    <xf numFmtId="2" fontId="23" fillId="8" borderId="10" xfId="0" applyNumberFormat="1" applyFont="1" applyFill="1" applyBorder="1" applyAlignment="1">
      <alignment horizontal="center" vertical="center"/>
    </xf>
    <xf numFmtId="2" fontId="23" fillId="8" borderId="4" xfId="0" applyNumberFormat="1" applyFont="1" applyFill="1" applyBorder="1" applyAlignment="1">
      <alignment horizontal="center" vertical="center"/>
    </xf>
    <xf numFmtId="2" fontId="23" fillId="8" borderId="11" xfId="0" applyNumberFormat="1" applyFont="1" applyFill="1" applyBorder="1" applyAlignment="1">
      <alignment horizontal="center" vertical="center"/>
    </xf>
    <xf numFmtId="2" fontId="23" fillId="8" borderId="0" xfId="0" applyNumberFormat="1" applyFont="1" applyFill="1" applyAlignment="1">
      <alignment horizontal="center" vertical="center"/>
    </xf>
    <xf numFmtId="2" fontId="23" fillId="8" borderId="5" xfId="0" applyNumberFormat="1" applyFont="1" applyFill="1" applyBorder="1" applyAlignment="1">
      <alignment horizontal="center" vertical="center"/>
    </xf>
    <xf numFmtId="2" fontId="23" fillId="8" borderId="12" xfId="0" applyNumberFormat="1" applyFont="1" applyFill="1" applyBorder="1" applyAlignment="1">
      <alignment horizontal="center" vertical="center"/>
    </xf>
    <xf numFmtId="2" fontId="23" fillId="8" borderId="3" xfId="0" applyNumberFormat="1" applyFont="1" applyFill="1" applyBorder="1" applyAlignment="1">
      <alignment horizontal="center" vertical="center"/>
    </xf>
    <xf numFmtId="2" fontId="23" fillId="8" borderId="13" xfId="0" applyNumberFormat="1" applyFont="1" applyFill="1" applyBorder="1" applyAlignment="1">
      <alignment horizontal="center" vertical="center"/>
    </xf>
    <xf numFmtId="2" fontId="23" fillId="4" borderId="9" xfId="0" applyNumberFormat="1" applyFont="1" applyFill="1" applyBorder="1" applyAlignment="1" applyProtection="1">
      <alignment horizontal="center" vertical="center"/>
      <protection locked="0"/>
    </xf>
    <xf numFmtId="2" fontId="23" fillId="4" borderId="10" xfId="0" applyNumberFormat="1" applyFont="1" applyFill="1" applyBorder="1" applyAlignment="1" applyProtection="1">
      <alignment horizontal="center" vertical="center"/>
      <protection locked="0"/>
    </xf>
    <xf numFmtId="2" fontId="23" fillId="4" borderId="4" xfId="0" applyNumberFormat="1" applyFont="1" applyFill="1" applyBorder="1" applyAlignment="1" applyProtection="1">
      <alignment horizontal="center" vertical="center"/>
      <protection locked="0"/>
    </xf>
    <xf numFmtId="2" fontId="23" fillId="4" borderId="11" xfId="0" applyNumberFormat="1" applyFont="1" applyFill="1" applyBorder="1" applyAlignment="1" applyProtection="1">
      <alignment horizontal="center" vertical="center"/>
      <protection locked="0"/>
    </xf>
    <xf numFmtId="2" fontId="23" fillId="4" borderId="0" xfId="0" applyNumberFormat="1" applyFont="1" applyFill="1" applyAlignment="1" applyProtection="1">
      <alignment horizontal="center" vertical="center"/>
      <protection locked="0"/>
    </xf>
    <xf numFmtId="2" fontId="23" fillId="4" borderId="5" xfId="0" applyNumberFormat="1" applyFont="1" applyFill="1" applyBorder="1" applyAlignment="1" applyProtection="1">
      <alignment horizontal="center" vertical="center"/>
      <protection locked="0"/>
    </xf>
    <xf numFmtId="2" fontId="23" fillId="4" borderId="12" xfId="0" applyNumberFormat="1" applyFont="1" applyFill="1" applyBorder="1" applyAlignment="1" applyProtection="1">
      <alignment horizontal="center" vertical="center"/>
      <protection locked="0"/>
    </xf>
    <xf numFmtId="2" fontId="23" fillId="4" borderId="3" xfId="0" applyNumberFormat="1" applyFont="1" applyFill="1" applyBorder="1" applyAlignment="1" applyProtection="1">
      <alignment horizontal="center" vertical="center"/>
      <protection locked="0"/>
    </xf>
    <xf numFmtId="2" fontId="23" fillId="4" borderId="13" xfId="0" applyNumberFormat="1" applyFont="1" applyFill="1" applyBorder="1" applyAlignment="1" applyProtection="1">
      <alignment horizontal="center" vertical="center"/>
      <protection locked="0"/>
    </xf>
    <xf numFmtId="0" fontId="2" fillId="14" borderId="0" xfId="0" applyFont="1" applyFill="1" applyAlignment="1">
      <alignment horizontal="left" vertical="center"/>
    </xf>
    <xf numFmtId="0" fontId="2" fillId="6" borderId="2" xfId="0" applyFont="1" applyFill="1" applyBorder="1" applyAlignment="1">
      <alignment horizontal="center" vertical="center"/>
    </xf>
    <xf numFmtId="0" fontId="2" fillId="6" borderId="0" xfId="0" applyFont="1" applyFill="1" applyAlignment="1">
      <alignment horizontal="center"/>
    </xf>
    <xf numFmtId="0" fontId="2" fillId="6" borderId="19" xfId="0" applyFont="1" applyFill="1" applyBorder="1" applyAlignment="1">
      <alignment horizontal="center" vertical="center"/>
    </xf>
    <xf numFmtId="0" fontId="3" fillId="5" borderId="1" xfId="0" applyFont="1" applyFill="1" applyBorder="1" applyAlignment="1">
      <alignment horizontal="center" vertical="center"/>
    </xf>
    <xf numFmtId="0" fontId="34" fillId="6" borderId="0" xfId="0" applyFont="1" applyFill="1" applyAlignment="1">
      <alignment horizontal="center" vertical="center"/>
    </xf>
    <xf numFmtId="0" fontId="35" fillId="6" borderId="0" xfId="0" applyFont="1" applyFill="1" applyAlignment="1">
      <alignment horizontal="center" vertical="center"/>
    </xf>
    <xf numFmtId="166" fontId="2" fillId="4" borderId="18" xfId="0" applyNumberFormat="1" applyFont="1" applyFill="1" applyBorder="1" applyAlignment="1" applyProtection="1">
      <alignment horizontal="center" vertical="center"/>
      <protection locked="0"/>
    </xf>
    <xf numFmtId="166" fontId="2" fillId="4" borderId="19" xfId="0" applyNumberFormat="1" applyFont="1" applyFill="1" applyBorder="1" applyAlignment="1" applyProtection="1">
      <alignment horizontal="center" vertical="center"/>
      <protection locked="0"/>
    </xf>
    <xf numFmtId="166" fontId="2" fillId="4" borderId="20" xfId="0" applyNumberFormat="1" applyFont="1" applyFill="1" applyBorder="1" applyAlignment="1" applyProtection="1">
      <alignment horizontal="center" vertical="center"/>
      <protection locked="0"/>
    </xf>
    <xf numFmtId="166" fontId="2" fillId="4" borderId="0" xfId="0" applyNumberFormat="1" applyFont="1" applyFill="1" applyAlignment="1" applyProtection="1">
      <alignment horizontal="center" vertical="center"/>
      <protection locked="0"/>
    </xf>
    <xf numFmtId="166" fontId="2" fillId="8" borderId="19" xfId="0" applyNumberFormat="1" applyFont="1" applyFill="1" applyBorder="1" applyAlignment="1">
      <alignment horizontal="center" vertical="center"/>
    </xf>
    <xf numFmtId="166" fontId="2" fillId="8" borderId="0" xfId="0" applyNumberFormat="1" applyFont="1" applyFill="1" applyAlignment="1">
      <alignment horizontal="center" vertical="center"/>
    </xf>
    <xf numFmtId="0" fontId="3" fillId="9" borderId="3" xfId="0" applyFont="1" applyFill="1" applyBorder="1" applyAlignment="1">
      <alignment horizontal="center" vertical="center"/>
    </xf>
    <xf numFmtId="0" fontId="2" fillId="4" borderId="9"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11"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12" xfId="0" applyFont="1" applyFill="1" applyBorder="1" applyAlignment="1" applyProtection="1">
      <alignment horizontal="center" vertical="center"/>
      <protection locked="0"/>
    </xf>
    <xf numFmtId="0" fontId="2" fillId="4" borderId="13" xfId="0" applyFont="1" applyFill="1" applyBorder="1" applyAlignment="1" applyProtection="1">
      <alignment horizontal="center" vertical="center"/>
      <protection locked="0"/>
    </xf>
    <xf numFmtId="0" fontId="2" fillId="6" borderId="21" xfId="0" applyFont="1" applyFill="1" applyBorder="1" applyAlignment="1">
      <alignment horizontal="center" vertical="center"/>
    </xf>
    <xf numFmtId="0" fontId="2" fillId="6" borderId="0" xfId="0" applyFont="1" applyFill="1" applyAlignment="1">
      <alignment horizontal="center" vertical="center"/>
    </xf>
    <xf numFmtId="0" fontId="2" fillId="4" borderId="0" xfId="0" applyFont="1" applyFill="1" applyAlignment="1" applyProtection="1">
      <alignment horizontal="center" vertical="center"/>
      <protection locked="0"/>
    </xf>
    <xf numFmtId="0" fontId="2" fillId="6" borderId="19" xfId="0" applyFont="1" applyFill="1" applyBorder="1" applyAlignment="1">
      <alignment horizontal="center"/>
    </xf>
    <xf numFmtId="0" fontId="2" fillId="4" borderId="19" xfId="0" applyFont="1" applyFill="1" applyBorder="1" applyAlignment="1" applyProtection="1">
      <alignment horizontal="center" vertical="center"/>
      <protection locked="0"/>
    </xf>
    <xf numFmtId="2" fontId="0" fillId="0" borderId="0" xfId="0" applyNumberFormat="1" applyAlignment="1">
      <alignment horizontal="left"/>
    </xf>
    <xf numFmtId="0" fontId="0" fillId="0" borderId="0" xfId="0" applyAlignment="1">
      <alignment horizontal="left"/>
    </xf>
    <xf numFmtId="0" fontId="0" fillId="0" borderId="3" xfId="0" applyBorder="1" applyAlignment="1">
      <alignment horizontal="center"/>
    </xf>
    <xf numFmtId="0" fontId="0" fillId="0" borderId="0" xfId="0" applyAlignment="1">
      <alignment horizontal="center"/>
    </xf>
    <xf numFmtId="0" fontId="37" fillId="11" borderId="0" xfId="0" applyFont="1" applyFill="1" applyAlignment="1">
      <alignment horizontal="left" vertical="center"/>
    </xf>
    <xf numFmtId="164" fontId="0" fillId="0" borderId="0" xfId="0" applyNumberFormat="1" applyAlignment="1">
      <alignment horizontal="center"/>
    </xf>
    <xf numFmtId="0" fontId="0" fillId="0" borderId="0" xfId="0" applyAlignment="1">
      <alignment horizontal="left" vertical="center"/>
    </xf>
    <xf numFmtId="0" fontId="0" fillId="13" borderId="3" xfId="0" applyFill="1" applyBorder="1" applyAlignment="1">
      <alignment horizontal="center"/>
    </xf>
    <xf numFmtId="0" fontId="0" fillId="0" borderId="0" xfId="0" applyAlignment="1">
      <alignment horizontal="center" vertical="center"/>
    </xf>
    <xf numFmtId="0" fontId="0" fillId="0" borderId="3" xfId="0" applyBorder="1" applyAlignment="1">
      <alignment horizontal="center" vertical="center"/>
    </xf>
    <xf numFmtId="0" fontId="17" fillId="3" borderId="0" xfId="0" applyFont="1" applyFill="1" applyAlignment="1">
      <alignment horizontal="right" vertical="center"/>
    </xf>
    <xf numFmtId="0" fontId="2" fillId="7" borderId="4" xfId="0" applyFont="1" applyFill="1" applyBorder="1" applyAlignment="1">
      <alignment horizontal="center" vertical="center"/>
    </xf>
    <xf numFmtId="0" fontId="2" fillId="7" borderId="9" xfId="0" applyFont="1" applyFill="1" applyBorder="1" applyAlignment="1">
      <alignment horizontal="center" vertical="center"/>
    </xf>
    <xf numFmtId="0" fontId="2" fillId="6" borderId="0" xfId="0" applyFont="1" applyFill="1" applyBorder="1"/>
    <xf numFmtId="2" fontId="2" fillId="6" borderId="0" xfId="1" applyNumberFormat="1" applyFont="1" applyFill="1" applyBorder="1" applyAlignment="1" applyProtection="1">
      <alignment horizontal="center" vertical="center"/>
      <protection locked="0"/>
    </xf>
    <xf numFmtId="0" fontId="2" fillId="6" borderId="5" xfId="0" applyFont="1" applyFill="1" applyBorder="1" applyAlignment="1" applyProtection="1">
      <alignment horizontal="center" vertical="center"/>
      <protection locked="0"/>
    </xf>
    <xf numFmtId="2" fontId="2" fillId="6" borderId="3" xfId="1" applyNumberFormat="1" applyFont="1" applyFill="1" applyBorder="1" applyAlignment="1" applyProtection="1">
      <alignment horizontal="center" vertical="center"/>
      <protection locked="0"/>
    </xf>
    <xf numFmtId="0" fontId="2" fillId="6" borderId="13" xfId="0" applyFont="1" applyFill="1" applyBorder="1" applyAlignment="1" applyProtection="1">
      <alignment horizontal="center" vertical="center"/>
      <protection locked="0"/>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2" fontId="2" fillId="6" borderId="6" xfId="1" applyNumberFormat="1" applyFont="1" applyFill="1" applyBorder="1" applyAlignment="1" applyProtection="1">
      <alignment horizontal="center" vertical="center"/>
    </xf>
    <xf numFmtId="0" fontId="3" fillId="5" borderId="8" xfId="0" applyFont="1" applyFill="1" applyBorder="1" applyAlignment="1">
      <alignment horizontal="center" vertical="center"/>
    </xf>
    <xf numFmtId="0" fontId="2" fillId="6" borderId="11"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11" xfId="0" applyFont="1" applyFill="1" applyBorder="1" applyAlignment="1" applyProtection="1">
      <alignment horizontal="center" vertical="center"/>
      <protection locked="0"/>
    </xf>
    <xf numFmtId="0" fontId="2" fillId="6" borderId="12"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wrapText="1"/>
      <protection locked="0"/>
    </xf>
    <xf numFmtId="0" fontId="4" fillId="2" borderId="0" xfId="0" applyFont="1" applyFill="1" applyAlignment="1" applyProtection="1">
      <alignment horizontal="center" vertical="center"/>
      <protection locked="0"/>
    </xf>
    <xf numFmtId="0" fontId="2" fillId="7" borderId="0" xfId="0" applyFont="1" applyFill="1" applyAlignment="1" applyProtection="1">
      <alignment horizontal="center" vertical="center"/>
    </xf>
    <xf numFmtId="0" fontId="7" fillId="0" borderId="0" xfId="0" applyFont="1" applyFill="1" applyAlignment="1">
      <alignment horizontal="left" vertical="center"/>
    </xf>
    <xf numFmtId="2" fontId="7" fillId="0" borderId="0" xfId="1" applyNumberFormat="1" applyFont="1" applyFill="1" applyBorder="1" applyAlignment="1">
      <alignment horizontal="center" vertical="center"/>
    </xf>
    <xf numFmtId="0" fontId="2" fillId="6" borderId="0" xfId="0" applyFont="1" applyFill="1" applyBorder="1" applyAlignment="1" applyProtection="1">
      <alignment horizontal="center" vertical="center"/>
    </xf>
    <xf numFmtId="0" fontId="2" fillId="6" borderId="0" xfId="0" applyFont="1" applyFill="1" applyBorder="1" applyProtection="1"/>
    <xf numFmtId="0" fontId="2" fillId="6" borderId="0" xfId="0" applyFont="1" applyFill="1" applyProtection="1"/>
  </cellXfs>
  <cellStyles count="3">
    <cellStyle name="Link" xfId="2" builtinId="8"/>
    <cellStyle name="Prozent" xfId="1" builtinId="5"/>
    <cellStyle name="Standard" xfId="0" builtinId="0"/>
  </cellStyles>
  <dxfs count="5">
    <dxf>
      <font>
        <color rgb="FFFBFBFB"/>
      </font>
    </dxf>
    <dxf>
      <font>
        <color rgb="FFFBFBFB"/>
      </font>
    </dxf>
    <dxf>
      <font>
        <color rgb="FFFBFBFB"/>
      </font>
    </dxf>
    <dxf>
      <font>
        <color rgb="FFFBFBFB"/>
      </font>
    </dxf>
    <dxf>
      <font>
        <color rgb="FFFBFBFB"/>
      </font>
    </dxf>
  </dxfs>
  <tableStyles count="0" defaultTableStyle="TableStyleMedium2" defaultPivotStyle="PivotStyleLight16"/>
  <colors>
    <mruColors>
      <color rgb="FFF5F5F5"/>
      <color rgb="FFFBFBFB"/>
      <color rgb="FF007CAA"/>
      <color rgb="FFBDEEFF"/>
      <color rgb="FF595959"/>
      <color rgb="FFE5F8FF"/>
      <color rgb="FF8A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224773213242602E-2"/>
          <c:y val="3.3491763755774874E-2"/>
          <c:w val="0.87923573488678364"/>
          <c:h val="0.76715145900880033"/>
        </c:manualLayout>
      </c:layout>
      <c:scatterChart>
        <c:scatterStyle val="smoothMarker"/>
        <c:varyColors val="0"/>
        <c:ser>
          <c:idx val="3"/>
          <c:order val="0"/>
          <c:tx>
            <c:v>Calibration Curve</c:v>
          </c:tx>
          <c:spPr>
            <a:ln w="25400" cap="rnd">
              <a:solidFill>
                <a:schemeClr val="bg1">
                  <a:lumMod val="75000"/>
                </a:schemeClr>
              </a:solidFill>
              <a:round/>
            </a:ln>
            <a:effectLst/>
          </c:spPr>
          <c:marker>
            <c:symbol val="none"/>
          </c:marker>
          <c:xVal>
            <c:numRef>
              <c:f>Tools!$B$135:$B$185</c:f>
              <c:numCache>
                <c:formatCode>General</c:formatCode>
                <c:ptCount val="51"/>
                <c:pt idx="0">
                  <c:v>50</c:v>
                </c:pt>
                <c:pt idx="1">
                  <c:v>52.4</c:v>
                </c:pt>
                <c:pt idx="2">
                  <c:v>54.8</c:v>
                </c:pt>
                <c:pt idx="3">
                  <c:v>57.199999999999996</c:v>
                </c:pt>
                <c:pt idx="4">
                  <c:v>59.599999999999994</c:v>
                </c:pt>
                <c:pt idx="5">
                  <c:v>61.999999999999993</c:v>
                </c:pt>
                <c:pt idx="6">
                  <c:v>64.399999999999991</c:v>
                </c:pt>
                <c:pt idx="7">
                  <c:v>66.8</c:v>
                </c:pt>
                <c:pt idx="8">
                  <c:v>69.2</c:v>
                </c:pt>
                <c:pt idx="9">
                  <c:v>71.600000000000009</c:v>
                </c:pt>
                <c:pt idx="10">
                  <c:v>74.000000000000014</c:v>
                </c:pt>
                <c:pt idx="11">
                  <c:v>76.40000000000002</c:v>
                </c:pt>
                <c:pt idx="12">
                  <c:v>78.800000000000026</c:v>
                </c:pt>
                <c:pt idx="13">
                  <c:v>81.200000000000031</c:v>
                </c:pt>
                <c:pt idx="14">
                  <c:v>83.600000000000037</c:v>
                </c:pt>
                <c:pt idx="15">
                  <c:v>86.000000000000043</c:v>
                </c:pt>
                <c:pt idx="16">
                  <c:v>88.400000000000048</c:v>
                </c:pt>
                <c:pt idx="17">
                  <c:v>90.800000000000054</c:v>
                </c:pt>
                <c:pt idx="18">
                  <c:v>93.20000000000006</c:v>
                </c:pt>
                <c:pt idx="19">
                  <c:v>95.600000000000065</c:v>
                </c:pt>
                <c:pt idx="20">
                  <c:v>98.000000000000071</c:v>
                </c:pt>
                <c:pt idx="21">
                  <c:v>100.40000000000008</c:v>
                </c:pt>
                <c:pt idx="22">
                  <c:v>102.80000000000008</c:v>
                </c:pt>
                <c:pt idx="23">
                  <c:v>105.20000000000009</c:v>
                </c:pt>
                <c:pt idx="24">
                  <c:v>107.60000000000009</c:v>
                </c:pt>
                <c:pt idx="25">
                  <c:v>110.0000000000001</c:v>
                </c:pt>
                <c:pt idx="26">
                  <c:v>112.40000000000011</c:v>
                </c:pt>
                <c:pt idx="27">
                  <c:v>114.80000000000011</c:v>
                </c:pt>
                <c:pt idx="28">
                  <c:v>117.20000000000012</c:v>
                </c:pt>
                <c:pt idx="29">
                  <c:v>119.60000000000012</c:v>
                </c:pt>
                <c:pt idx="30">
                  <c:v>122.00000000000013</c:v>
                </c:pt>
                <c:pt idx="31">
                  <c:v>124.40000000000013</c:v>
                </c:pt>
                <c:pt idx="32">
                  <c:v>126.80000000000014</c:v>
                </c:pt>
                <c:pt idx="33">
                  <c:v>129.20000000000013</c:v>
                </c:pt>
                <c:pt idx="34">
                  <c:v>131.60000000000014</c:v>
                </c:pt>
                <c:pt idx="35">
                  <c:v>134.00000000000014</c:v>
                </c:pt>
                <c:pt idx="36">
                  <c:v>136.40000000000015</c:v>
                </c:pt>
                <c:pt idx="37">
                  <c:v>138.80000000000015</c:v>
                </c:pt>
                <c:pt idx="38">
                  <c:v>141.20000000000016</c:v>
                </c:pt>
                <c:pt idx="39">
                  <c:v>143.60000000000016</c:v>
                </c:pt>
                <c:pt idx="40">
                  <c:v>146.00000000000017</c:v>
                </c:pt>
                <c:pt idx="41">
                  <c:v>148.40000000000018</c:v>
                </c:pt>
                <c:pt idx="42">
                  <c:v>150.80000000000018</c:v>
                </c:pt>
                <c:pt idx="43">
                  <c:v>153.20000000000019</c:v>
                </c:pt>
                <c:pt idx="44">
                  <c:v>155.60000000000019</c:v>
                </c:pt>
                <c:pt idx="45">
                  <c:v>158.0000000000002</c:v>
                </c:pt>
                <c:pt idx="46">
                  <c:v>160.4000000000002</c:v>
                </c:pt>
                <c:pt idx="47">
                  <c:v>162.80000000000021</c:v>
                </c:pt>
                <c:pt idx="48">
                  <c:v>165.20000000000022</c:v>
                </c:pt>
                <c:pt idx="49">
                  <c:v>167.60000000000022</c:v>
                </c:pt>
                <c:pt idx="50">
                  <c:v>170</c:v>
                </c:pt>
              </c:numCache>
            </c:numRef>
          </c:xVal>
          <c:yVal>
            <c:numRef>
              <c:f>Tools!$C$135:$C$185</c:f>
              <c:numCache>
                <c:formatCode>0.00</c:formatCode>
                <c:ptCount val="51"/>
                <c:pt idx="0">
                  <c:v>-3.9901924839596719</c:v>
                </c:pt>
                <c:pt idx="1">
                  <c:v>-3.7593437213565561</c:v>
                </c:pt>
                <c:pt idx="2">
                  <c:v>-3.5284949587534395</c:v>
                </c:pt>
                <c:pt idx="3">
                  <c:v>-3.2976461961503238</c:v>
                </c:pt>
                <c:pt idx="4">
                  <c:v>-3.0667974335472072</c:v>
                </c:pt>
                <c:pt idx="5">
                  <c:v>-2.8359486709440915</c:v>
                </c:pt>
                <c:pt idx="6">
                  <c:v>-2.6050999083409749</c:v>
                </c:pt>
                <c:pt idx="7">
                  <c:v>-2.3742511457378583</c:v>
                </c:pt>
                <c:pt idx="8">
                  <c:v>-2.1434023831347409</c:v>
                </c:pt>
                <c:pt idx="9">
                  <c:v>-1.9125536205316243</c:v>
                </c:pt>
                <c:pt idx="10">
                  <c:v>-1.6817048579285077</c:v>
                </c:pt>
                <c:pt idx="11">
                  <c:v>-1.4508560953253902</c:v>
                </c:pt>
                <c:pt idx="12">
                  <c:v>-1.2200073327222736</c:v>
                </c:pt>
                <c:pt idx="13">
                  <c:v>-0.98915857011915609</c:v>
                </c:pt>
                <c:pt idx="14">
                  <c:v>-0.75830980751604038</c:v>
                </c:pt>
                <c:pt idx="15">
                  <c:v>-0.52746104491292201</c:v>
                </c:pt>
                <c:pt idx="16">
                  <c:v>-0.29661228230980541</c:v>
                </c:pt>
                <c:pt idx="17">
                  <c:v>-6.5763519706688811E-2</c:v>
                </c:pt>
                <c:pt idx="18">
                  <c:v>0.16508524289642779</c:v>
                </c:pt>
                <c:pt idx="19">
                  <c:v>0.39593400549954438</c:v>
                </c:pt>
                <c:pt idx="20">
                  <c:v>0.62678276810266098</c:v>
                </c:pt>
                <c:pt idx="21">
                  <c:v>0.85763153070577935</c:v>
                </c:pt>
                <c:pt idx="22">
                  <c:v>1.088480293308896</c:v>
                </c:pt>
                <c:pt idx="23">
                  <c:v>1.3193290559120125</c:v>
                </c:pt>
                <c:pt idx="24">
                  <c:v>1.5501778185151291</c:v>
                </c:pt>
                <c:pt idx="25">
                  <c:v>1.7810265811182457</c:v>
                </c:pt>
                <c:pt idx="26">
                  <c:v>2.0118753437213641</c:v>
                </c:pt>
                <c:pt idx="27">
                  <c:v>2.2427241063244807</c:v>
                </c:pt>
                <c:pt idx="28">
                  <c:v>2.4735728689275973</c:v>
                </c:pt>
                <c:pt idx="29">
                  <c:v>2.7044216315307139</c:v>
                </c:pt>
                <c:pt idx="30">
                  <c:v>2.9352703941338305</c:v>
                </c:pt>
                <c:pt idx="31">
                  <c:v>3.1661191567369471</c:v>
                </c:pt>
                <c:pt idx="32">
                  <c:v>3.3969679193400655</c:v>
                </c:pt>
                <c:pt idx="33">
                  <c:v>3.6278166819431803</c:v>
                </c:pt>
                <c:pt idx="34">
                  <c:v>3.8586654445462969</c:v>
                </c:pt>
                <c:pt idx="35">
                  <c:v>4.0895142071494135</c:v>
                </c:pt>
                <c:pt idx="36">
                  <c:v>4.3203629697525319</c:v>
                </c:pt>
                <c:pt idx="37">
                  <c:v>4.5512117323556485</c:v>
                </c:pt>
                <c:pt idx="38">
                  <c:v>4.7820604949587651</c:v>
                </c:pt>
                <c:pt idx="39">
                  <c:v>5.0129092575618817</c:v>
                </c:pt>
                <c:pt idx="40">
                  <c:v>5.2437580201649983</c:v>
                </c:pt>
                <c:pt idx="41">
                  <c:v>5.4746067827681149</c:v>
                </c:pt>
                <c:pt idx="42">
                  <c:v>5.7054555453712332</c:v>
                </c:pt>
                <c:pt idx="43">
                  <c:v>5.9363043079743498</c:v>
                </c:pt>
                <c:pt idx="44">
                  <c:v>6.1671530705774664</c:v>
                </c:pt>
                <c:pt idx="45">
                  <c:v>6.398001833180583</c:v>
                </c:pt>
                <c:pt idx="46">
                  <c:v>6.6288505957836996</c:v>
                </c:pt>
                <c:pt idx="47">
                  <c:v>6.8596993583868162</c:v>
                </c:pt>
                <c:pt idx="48">
                  <c:v>7.0905481209899346</c:v>
                </c:pt>
                <c:pt idx="49">
                  <c:v>7.3213968835930494</c:v>
                </c:pt>
                <c:pt idx="50">
                  <c:v>7.5522456461961447</c:v>
                </c:pt>
              </c:numCache>
            </c:numRef>
          </c:yVal>
          <c:smooth val="1"/>
          <c:extLst>
            <c:ext xmlns:c16="http://schemas.microsoft.com/office/drawing/2014/chart" uri="{C3380CC4-5D6E-409C-BE32-E72D297353CC}">
              <c16:uniqueId val="{00000003-B8D6-46F4-8CEA-C30C1691220D}"/>
            </c:ext>
          </c:extLst>
        </c:ser>
        <c:ser>
          <c:idx val="2"/>
          <c:order val="1"/>
          <c:tx>
            <c:v>Measurements</c:v>
          </c:tx>
          <c:spPr>
            <a:ln w="19050" cap="rnd">
              <a:noFill/>
              <a:round/>
            </a:ln>
            <a:effectLst/>
          </c:spPr>
          <c:marker>
            <c:symbol val="circle"/>
            <c:size val="8"/>
            <c:spPr>
              <a:solidFill>
                <a:srgbClr val="007CAA"/>
              </a:solidFill>
              <a:ln w="9525">
                <a:solidFill>
                  <a:srgbClr val="007CAA"/>
                </a:solidFill>
              </a:ln>
              <a:effectLst/>
            </c:spPr>
          </c:marker>
          <c:xVal>
            <c:numRef>
              <c:f>[0]!Calibration_x</c:f>
              <c:numCache>
                <c:formatCode>General</c:formatCode>
                <c:ptCount val="4"/>
                <c:pt idx="0">
                  <c:v>60</c:v>
                </c:pt>
                <c:pt idx="1">
                  <c:v>150</c:v>
                </c:pt>
                <c:pt idx="2">
                  <c:v>155</c:v>
                </c:pt>
                <c:pt idx="3">
                  <c:v>160</c:v>
                </c:pt>
              </c:numCache>
            </c:numRef>
          </c:xVal>
          <c:yVal>
            <c:numRef>
              <c:f>[0]!Calibration_y</c:f>
              <c:numCache>
                <c:formatCode>General</c:formatCode>
                <c:ptCount val="4"/>
                <c:pt idx="0">
                  <c:v>-3</c:v>
                </c:pt>
                <c:pt idx="1">
                  <c:v>5.5</c:v>
                </c:pt>
                <c:pt idx="2">
                  <c:v>5.8</c:v>
                </c:pt>
                <c:pt idx="3">
                  <c:v>7</c:v>
                </c:pt>
              </c:numCache>
            </c:numRef>
          </c:yVal>
          <c:smooth val="1"/>
          <c:extLst>
            <c:ext xmlns:c16="http://schemas.microsoft.com/office/drawing/2014/chart" uri="{C3380CC4-5D6E-409C-BE32-E72D297353CC}">
              <c16:uniqueId val="{00000002-B8D6-46F4-8CEA-C30C1691220D}"/>
            </c:ext>
          </c:extLst>
        </c:ser>
        <c:dLbls>
          <c:showLegendKey val="0"/>
          <c:showVal val="0"/>
          <c:showCatName val="0"/>
          <c:showSerName val="0"/>
          <c:showPercent val="0"/>
          <c:showBubbleSize val="0"/>
        </c:dLbls>
        <c:axId val="665597176"/>
        <c:axId val="665598976"/>
      </c:scatterChart>
      <c:valAx>
        <c:axId val="665597176"/>
        <c:scaling>
          <c:orientation val="minMax"/>
        </c:scaling>
        <c:delete val="0"/>
        <c:axPos val="b"/>
        <c:majorGridlines>
          <c:spPr>
            <a:ln w="9525" cap="flat" cmpd="sng" algn="ctr">
              <a:solidFill>
                <a:srgbClr val="F5F5F5"/>
              </a:solidFill>
              <a:round/>
            </a:ln>
            <a:effectLst/>
          </c:spPr>
        </c:majorGridlines>
        <c:title>
          <c:tx>
            <c:rich>
              <a:bodyPr rot="0" spcFirstLastPara="1" vertOverflow="ellipsis" vert="horz" wrap="square" anchor="ctr" anchorCtr="1"/>
              <a:lstStyle/>
              <a:p>
                <a:pPr>
                  <a:defRPr sz="1100" b="1" i="0" u="none" strike="noStrike" kern="1200" baseline="0">
                    <a:solidFill>
                      <a:schemeClr val="tx1">
                        <a:lumMod val="65000"/>
                        <a:lumOff val="35000"/>
                      </a:schemeClr>
                    </a:solidFill>
                    <a:latin typeface="Aptos Narrow" panose="020B0004020202020204" pitchFamily="34" charset="0"/>
                    <a:ea typeface="+mn-ea"/>
                    <a:cs typeface="+mn-cs"/>
                  </a:defRPr>
                </a:pPr>
                <a:r>
                  <a:rPr lang="de-DE" sz="1100" b="1">
                    <a:latin typeface="Aptos Narrow" panose="020B0004020202020204" pitchFamily="34" charset="0"/>
                  </a:rPr>
                  <a:t>tp</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Aptos Narrow" panose="020B0004020202020204" pitchFamily="34" charset="0"/>
                  <a:ea typeface="+mn-ea"/>
                  <a:cs typeface="+mn-cs"/>
                </a:defRPr>
              </a:pPr>
              <a:endParaRPr lang="de-DE"/>
            </a:p>
          </c:txPr>
        </c:title>
        <c:numFmt formatCode="#,##0" sourceLinked="0"/>
        <c:majorTickMark val="none"/>
        <c:minorTickMark val="none"/>
        <c:tickLblPos val="low"/>
        <c:spPr>
          <a:noFill/>
          <a:ln w="9525" cap="flat" cmpd="sng" algn="ctr">
            <a:solidFill>
              <a:schemeClr val="bg2">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crossAx val="665598976"/>
        <c:crosses val="autoZero"/>
        <c:crossBetween val="midCat"/>
      </c:valAx>
      <c:valAx>
        <c:axId val="665598976"/>
        <c:scaling>
          <c:orientation val="minMax"/>
        </c:scaling>
        <c:delete val="0"/>
        <c:axPos val="l"/>
        <c:majorGridlines>
          <c:spPr>
            <a:ln w="9525" cap="flat" cmpd="sng" algn="ctr">
              <a:solidFill>
                <a:srgbClr val="F5F5F5"/>
              </a:solidFill>
              <a:round/>
            </a:ln>
            <a:effectLst/>
          </c:spPr>
        </c:majorGridlines>
        <c:title>
          <c:tx>
            <c:rich>
              <a:bodyPr rot="-5400000" spcFirstLastPara="1" vertOverflow="ellipsis" vert="horz" wrap="square" anchor="ctr" anchorCtr="1"/>
              <a:lstStyle/>
              <a:p>
                <a:pPr algn="ctr" rtl="0">
                  <a:defRPr lang="de-DE" sz="1100" b="1" i="0" u="none" strike="noStrike" kern="1200" baseline="0">
                    <a:solidFill>
                      <a:sysClr val="windowText" lastClr="000000">
                        <a:lumMod val="65000"/>
                        <a:lumOff val="35000"/>
                      </a:sysClr>
                    </a:solidFill>
                    <a:latin typeface="Aptos Narrow" panose="020B0004020202020204" pitchFamily="34" charset="0"/>
                    <a:ea typeface="+mn-ea"/>
                    <a:cs typeface="+mn-cs"/>
                  </a:defRPr>
                </a:pPr>
                <a:r>
                  <a:rPr lang="de-DE" sz="1100" b="1" i="0" u="none" strike="noStrike" kern="1200" baseline="0">
                    <a:solidFill>
                      <a:sysClr val="windowText" lastClr="000000">
                        <a:lumMod val="65000"/>
                        <a:lumOff val="35000"/>
                      </a:sysClr>
                    </a:solidFill>
                    <a:latin typeface="Aptos Narrow" panose="020B0004020202020204" pitchFamily="34" charset="0"/>
                    <a:ea typeface="+mn-ea"/>
                    <a:cs typeface="+mn-cs"/>
                  </a:rPr>
                  <a:t>Moisture [%]</a:t>
                </a:r>
              </a:p>
            </c:rich>
          </c:tx>
          <c:overlay val="0"/>
          <c:spPr>
            <a:noFill/>
            <a:ln>
              <a:noFill/>
            </a:ln>
            <a:effectLst/>
          </c:spPr>
          <c:txPr>
            <a:bodyPr rot="-5400000" spcFirstLastPara="1" vertOverflow="ellipsis" vert="horz" wrap="square" anchor="ctr" anchorCtr="1"/>
            <a:lstStyle/>
            <a:p>
              <a:pPr algn="ctr" rtl="0">
                <a:defRPr lang="de-DE" sz="1100" b="1" i="0" u="none" strike="noStrike" kern="1200" baseline="0">
                  <a:solidFill>
                    <a:sysClr val="windowText" lastClr="000000">
                      <a:lumMod val="65000"/>
                      <a:lumOff val="35000"/>
                    </a:sysClr>
                  </a:solidFill>
                  <a:latin typeface="Aptos Narrow" panose="020B0004020202020204" pitchFamily="34" charset="0"/>
                  <a:ea typeface="+mn-ea"/>
                  <a:cs typeface="+mn-cs"/>
                </a:defRPr>
              </a:pPr>
              <a:endParaRPr lang="de-DE"/>
            </a:p>
          </c:txPr>
        </c:title>
        <c:numFmt formatCode="0" sourceLinked="0"/>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crossAx val="665597176"/>
        <c:crosses val="autoZero"/>
        <c:crossBetween val="midCat"/>
      </c:valAx>
      <c:spPr>
        <a:noFill/>
        <a:ln>
          <a:solidFill>
            <a:schemeClr val="bg1">
              <a:lumMod val="85000"/>
            </a:schemeClr>
          </a:solid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BFBFB"/>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391034487647"/>
          <c:y val="7.1911086000495492E-2"/>
          <c:w val="0.83125308182192925"/>
          <c:h val="0.70658722071446423"/>
        </c:manualLayout>
      </c:layout>
      <c:scatterChart>
        <c:scatterStyle val="smoothMarker"/>
        <c:varyColors val="0"/>
        <c:ser>
          <c:idx val="0"/>
          <c:order val="0"/>
          <c:tx>
            <c:v>Input</c:v>
          </c:tx>
          <c:spPr>
            <a:ln w="25400" cap="rnd">
              <a:solidFill>
                <a:schemeClr val="tx1">
                  <a:lumMod val="65000"/>
                  <a:lumOff val="35000"/>
                </a:schemeClr>
              </a:solidFill>
              <a:round/>
            </a:ln>
            <a:effectLst/>
          </c:spPr>
          <c:marker>
            <c:symbol val="none"/>
          </c:marker>
          <c:xVal>
            <c:numRef>
              <c:f>Tools!$F$350:$F$449</c:f>
              <c:numCache>
                <c:formatCode>0</c:formatCode>
                <c:ptCount val="100"/>
                <c:pt idx="0">
                  <c:v>110</c:v>
                </c:pt>
                <c:pt idx="1">
                  <c:v>120</c:v>
                </c:pt>
                <c:pt idx="2">
                  <c:v>130</c:v>
                </c:pt>
                <c:pt idx="3">
                  <c:v>140</c:v>
                </c:pt>
                <c:pt idx="4">
                  <c:v>150</c:v>
                </c:pt>
                <c:pt idx="5">
                  <c:v>160</c:v>
                </c:pt>
                <c:pt idx="6">
                  <c:v>170</c:v>
                </c:pt>
                <c:pt idx="7">
                  <c:v>180</c:v>
                </c:pt>
                <c:pt idx="8">
                  <c:v>190</c:v>
                </c:pt>
                <c:pt idx="9">
                  <c:v>200</c:v>
                </c:pt>
                <c:pt idx="10">
                  <c:v>210</c:v>
                </c:pt>
                <c:pt idx="11">
                  <c:v>220</c:v>
                </c:pt>
                <c:pt idx="12">
                  <c:v>230</c:v>
                </c:pt>
                <c:pt idx="13">
                  <c:v>240</c:v>
                </c:pt>
                <c:pt idx="14">
                  <c:v>250</c:v>
                </c:pt>
                <c:pt idx="15">
                  <c:v>260</c:v>
                </c:pt>
                <c:pt idx="16">
                  <c:v>270</c:v>
                </c:pt>
                <c:pt idx="17">
                  <c:v>280</c:v>
                </c:pt>
                <c:pt idx="18">
                  <c:v>290</c:v>
                </c:pt>
                <c:pt idx="19">
                  <c:v>300</c:v>
                </c:pt>
                <c:pt idx="20">
                  <c:v>310</c:v>
                </c:pt>
                <c:pt idx="21">
                  <c:v>320</c:v>
                </c:pt>
                <c:pt idx="22">
                  <c:v>330</c:v>
                </c:pt>
                <c:pt idx="23">
                  <c:v>340</c:v>
                </c:pt>
                <c:pt idx="24">
                  <c:v>350</c:v>
                </c:pt>
                <c:pt idx="25">
                  <c:v>360</c:v>
                </c:pt>
                <c:pt idx="26">
                  <c:v>370</c:v>
                </c:pt>
                <c:pt idx="27">
                  <c:v>380</c:v>
                </c:pt>
                <c:pt idx="28">
                  <c:v>390</c:v>
                </c:pt>
                <c:pt idx="29">
                  <c:v>400</c:v>
                </c:pt>
                <c:pt idx="30">
                  <c:v>410</c:v>
                </c:pt>
                <c:pt idx="31">
                  <c:v>420</c:v>
                </c:pt>
                <c:pt idx="32">
                  <c:v>430</c:v>
                </c:pt>
                <c:pt idx="33">
                  <c:v>440</c:v>
                </c:pt>
                <c:pt idx="34">
                  <c:v>450</c:v>
                </c:pt>
                <c:pt idx="35">
                  <c:v>460</c:v>
                </c:pt>
                <c:pt idx="36">
                  <c:v>470</c:v>
                </c:pt>
                <c:pt idx="37">
                  <c:v>480</c:v>
                </c:pt>
                <c:pt idx="38">
                  <c:v>490</c:v>
                </c:pt>
                <c:pt idx="39">
                  <c:v>500</c:v>
                </c:pt>
                <c:pt idx="40">
                  <c:v>510</c:v>
                </c:pt>
                <c:pt idx="41">
                  <c:v>520</c:v>
                </c:pt>
                <c:pt idx="42">
                  <c:v>530</c:v>
                </c:pt>
                <c:pt idx="43">
                  <c:v>540</c:v>
                </c:pt>
                <c:pt idx="44">
                  <c:v>550</c:v>
                </c:pt>
                <c:pt idx="45">
                  <c:v>560</c:v>
                </c:pt>
                <c:pt idx="46">
                  <c:v>570</c:v>
                </c:pt>
                <c:pt idx="47">
                  <c:v>580</c:v>
                </c:pt>
                <c:pt idx="48">
                  <c:v>590</c:v>
                </c:pt>
                <c:pt idx="49">
                  <c:v>600</c:v>
                </c:pt>
                <c:pt idx="50">
                  <c:v>610</c:v>
                </c:pt>
                <c:pt idx="51">
                  <c:v>620</c:v>
                </c:pt>
                <c:pt idx="52">
                  <c:v>630</c:v>
                </c:pt>
                <c:pt idx="53">
                  <c:v>640</c:v>
                </c:pt>
                <c:pt idx="54">
                  <c:v>650</c:v>
                </c:pt>
                <c:pt idx="55">
                  <c:v>660</c:v>
                </c:pt>
                <c:pt idx="56">
                  <c:v>670</c:v>
                </c:pt>
                <c:pt idx="57">
                  <c:v>680</c:v>
                </c:pt>
                <c:pt idx="58">
                  <c:v>690</c:v>
                </c:pt>
                <c:pt idx="59">
                  <c:v>700</c:v>
                </c:pt>
                <c:pt idx="60">
                  <c:v>710</c:v>
                </c:pt>
                <c:pt idx="61">
                  <c:v>720</c:v>
                </c:pt>
                <c:pt idx="62">
                  <c:v>730</c:v>
                </c:pt>
                <c:pt idx="63">
                  <c:v>740</c:v>
                </c:pt>
                <c:pt idx="64">
                  <c:v>750</c:v>
                </c:pt>
                <c:pt idx="65">
                  <c:v>760</c:v>
                </c:pt>
                <c:pt idx="66">
                  <c:v>770</c:v>
                </c:pt>
                <c:pt idx="67">
                  <c:v>780</c:v>
                </c:pt>
                <c:pt idx="68">
                  <c:v>790</c:v>
                </c:pt>
                <c:pt idx="69">
                  <c:v>800</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numCache>
            </c:numRef>
          </c:xVal>
          <c:yVal>
            <c:numRef>
              <c:f>Tools!$G$350:$G$449</c:f>
              <c:numCache>
                <c:formatCode>0.00</c:formatCode>
                <c:ptCount val="100"/>
                <c:pt idx="0">
                  <c:v>3.4650814204994926E-2</c:v>
                </c:pt>
                <c:pt idx="1">
                  <c:v>0.96097759615999312</c:v>
                </c:pt>
                <c:pt idx="2">
                  <c:v>1.7942148475150006</c:v>
                </c:pt>
                <c:pt idx="3">
                  <c:v>2.5484231547199951</c:v>
                </c:pt>
                <c:pt idx="4">
                  <c:v>3.2365420156249938</c:v>
                </c:pt>
                <c:pt idx="5">
                  <c:v>3.87043316607999</c:v>
                </c:pt>
                <c:pt idx="6">
                  <c:v>4.4609239065350019</c:v>
                </c:pt>
                <c:pt idx="7">
                  <c:v>5.0178504286399974</c:v>
                </c:pt>
                <c:pt idx="8">
                  <c:v>5.5501011418450004</c:v>
                </c:pt>
                <c:pt idx="9">
                  <c:v>6.0656600000000047</c:v>
                </c:pt>
                <c:pt idx="10">
                  <c:v>6.5716498279549933</c:v>
                </c:pt>
                <c:pt idx="11">
                  <c:v>7.0743756481599895</c:v>
                </c:pt>
                <c:pt idx="12">
                  <c:v>7.5793680072650034</c:v>
                </c:pt>
                <c:pt idx="13">
                  <c:v>8.091426302719988</c:v>
                </c:pt>
                <c:pt idx="14">
                  <c:v>8.6146621093749935</c:v>
                </c:pt>
                <c:pt idx="15">
                  <c:v>9.1525425060800121</c:v>
                </c:pt>
                <c:pt idx="16">
                  <c:v>9.7079334022850148</c:v>
                </c:pt>
                <c:pt idx="17">
                  <c:v>10.283142864639991</c:v>
                </c:pt>
                <c:pt idx="18">
                  <c:v>10.879964443594993</c:v>
                </c:pt>
                <c:pt idx="19">
                  <c:v>11.499720499999993</c:v>
                </c:pt>
                <c:pt idx="20">
                  <c:v>12.143305531705003</c:v>
                </c:pt>
                <c:pt idx="21">
                  <c:v>12.811229500159994</c:v>
                </c:pt>
                <c:pt idx="22">
                  <c:v>13.503661157014999</c:v>
                </c:pt>
                <c:pt idx="23">
                  <c:v>14.220471370720009</c:v>
                </c:pt>
                <c:pt idx="24">
                  <c:v>14.961276453124999</c:v>
                </c:pt>
                <c:pt idx="25">
                  <c:v>15.725481486079985</c:v>
                </c:pt>
                <c:pt idx="26">
                  <c:v>16.512323648034961</c:v>
                </c:pt>
                <c:pt idx="27">
                  <c:v>17.320915540640051</c:v>
                </c:pt>
                <c:pt idx="28">
                  <c:v>18.150288515345046</c:v>
                </c:pt>
                <c:pt idx="29">
                  <c:v>18.999436000000046</c:v>
                </c:pt>
                <c:pt idx="30">
                  <c:v>19.867356825455012</c:v>
                </c:pt>
                <c:pt idx="31">
                  <c:v>20.753098552160033</c:v>
                </c:pt>
                <c:pt idx="32">
                  <c:v>21.655800796765021</c:v>
                </c:pt>
                <c:pt idx="33">
                  <c:v>22.574738558720028</c:v>
                </c:pt>
                <c:pt idx="34">
                  <c:v>23.509365546875031</c:v>
                </c:pt>
                <c:pt idx="35">
                  <c:v>24.459357506080096</c:v>
                </c:pt>
                <c:pt idx="36">
                  <c:v>25.424655543785093</c:v>
                </c:pt>
                <c:pt idx="37">
                  <c:v>26.405509456640075</c:v>
                </c:pt>
                <c:pt idx="38">
                  <c:v>27.402521057095072</c:v>
                </c:pt>
                <c:pt idx="39">
                  <c:v>28.416687499999995</c:v>
                </c:pt>
                <c:pt idx="40">
                  <c:v>29.449444609205102</c:v>
                </c:pt>
                <c:pt idx="41">
                  <c:v>30.502710204160167</c:v>
                </c:pt>
                <c:pt idx="42">
                  <c:v>31.578927426515122</c:v>
                </c:pt>
                <c:pt idx="43">
                  <c:v>32.681108066720185</c:v>
                </c:pt>
                <c:pt idx="44">
                  <c:v>33.812875890625151</c:v>
                </c:pt>
                <c:pt idx="45">
                  <c:v>34.978509966080054</c:v>
                </c:pt>
                <c:pt idx="46">
                  <c:v>36.182987989535064</c:v>
                </c:pt>
                <c:pt idx="47">
                  <c:v>37.43202961263998</c:v>
                </c:pt>
                <c:pt idx="48">
                  <c:v>38.732139768845002</c:v>
                </c:pt>
                <c:pt idx="49">
                  <c:v>40.090652000000148</c:v>
                </c:pt>
                <c:pt idx="50">
                  <c:v>41.515771782955198</c:v>
                </c:pt>
                <c:pt idx="51">
                  <c:v>43.016619856160219</c:v>
                </c:pt>
                <c:pt idx="52">
                  <c:v>44.603275546265081</c:v>
                </c:pt>
                <c:pt idx="53">
                  <c:v>46.286820094720099</c:v>
                </c:pt>
                <c:pt idx="54">
                  <c:v>48.079379984375066</c:v>
                </c:pt>
                <c:pt idx="55">
                  <c:v>49.994170266080232</c:v>
                </c:pt>
                <c:pt idx="56">
                  <c:v>52.045537885284944</c:v>
                </c:pt>
                <c:pt idx="57">
                  <c:v>54.249005008640211</c:v>
                </c:pt>
                <c:pt idx="58">
                  <c:v>56.621312350595076</c:v>
                </c:pt>
                <c:pt idx="59">
                  <c:v>59.18046250000009</c:v>
                </c:pt>
                <c:pt idx="60">
                  <c:v>61.945763246705269</c:v>
                </c:pt>
                <c:pt idx="61">
                  <c:v>64.937870908159994</c:v>
                </c:pt>
                <c:pt idx="62">
                  <c:v>68.178833656015058</c:v>
                </c:pt>
                <c:pt idx="63">
                  <c:v>71.692134842719838</c:v>
                </c:pt>
                <c:pt idx="64">
                  <c:v>75.502736328125252</c:v>
                </c:pt>
                <c:pt idx="65">
                  <c:v>79.637121806080586</c:v>
                </c:pt>
                <c:pt idx="66">
                  <c:v>84.123340131035206</c:v>
                </c:pt>
                <c:pt idx="67">
                  <c:v>88.991048644640387</c:v>
                </c:pt>
                <c:pt idx="68">
                  <c:v>94.27155650234522</c:v>
                </c:pt>
                <c:pt idx="69">
                  <c:v>99.997868000000608</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numCache>
            </c:numRef>
          </c:yVal>
          <c:smooth val="1"/>
          <c:extLst>
            <c:ext xmlns:c16="http://schemas.microsoft.com/office/drawing/2014/chart" uri="{C3380CC4-5D6E-409C-BE32-E72D297353CC}">
              <c16:uniqueId val="{00000001-EDDF-4B8A-B0ED-A09CF4E35FD6}"/>
            </c:ext>
          </c:extLst>
        </c:ser>
        <c:ser>
          <c:idx val="1"/>
          <c:order val="1"/>
          <c:tx>
            <c:v>Output</c:v>
          </c:tx>
          <c:spPr>
            <a:ln w="25400" cap="rnd">
              <a:solidFill>
                <a:srgbClr val="007CAA"/>
              </a:solidFill>
              <a:round/>
            </a:ln>
            <a:effectLst/>
          </c:spPr>
          <c:marker>
            <c:symbol val="none"/>
          </c:marker>
          <c:xVal>
            <c:numRef>
              <c:f>Tools!$F$350:$F$449</c:f>
              <c:numCache>
                <c:formatCode>0</c:formatCode>
                <c:ptCount val="100"/>
                <c:pt idx="0">
                  <c:v>110</c:v>
                </c:pt>
                <c:pt idx="1">
                  <c:v>120</c:v>
                </c:pt>
                <c:pt idx="2">
                  <c:v>130</c:v>
                </c:pt>
                <c:pt idx="3">
                  <c:v>140</c:v>
                </c:pt>
                <c:pt idx="4">
                  <c:v>150</c:v>
                </c:pt>
                <c:pt idx="5">
                  <c:v>160</c:v>
                </c:pt>
                <c:pt idx="6">
                  <c:v>170</c:v>
                </c:pt>
                <c:pt idx="7">
                  <c:v>180</c:v>
                </c:pt>
                <c:pt idx="8">
                  <c:v>190</c:v>
                </c:pt>
                <c:pt idx="9">
                  <c:v>200</c:v>
                </c:pt>
                <c:pt idx="10">
                  <c:v>210</c:v>
                </c:pt>
                <c:pt idx="11">
                  <c:v>220</c:v>
                </c:pt>
                <c:pt idx="12">
                  <c:v>230</c:v>
                </c:pt>
                <c:pt idx="13">
                  <c:v>240</c:v>
                </c:pt>
                <c:pt idx="14">
                  <c:v>250</c:v>
                </c:pt>
                <c:pt idx="15">
                  <c:v>260</c:v>
                </c:pt>
                <c:pt idx="16">
                  <c:v>270</c:v>
                </c:pt>
                <c:pt idx="17">
                  <c:v>280</c:v>
                </c:pt>
                <c:pt idx="18">
                  <c:v>290</c:v>
                </c:pt>
                <c:pt idx="19">
                  <c:v>300</c:v>
                </c:pt>
                <c:pt idx="20">
                  <c:v>310</c:v>
                </c:pt>
                <c:pt idx="21">
                  <c:v>320</c:v>
                </c:pt>
                <c:pt idx="22">
                  <c:v>330</c:v>
                </c:pt>
                <c:pt idx="23">
                  <c:v>340</c:v>
                </c:pt>
                <c:pt idx="24">
                  <c:v>350</c:v>
                </c:pt>
                <c:pt idx="25">
                  <c:v>360</c:v>
                </c:pt>
                <c:pt idx="26">
                  <c:v>370</c:v>
                </c:pt>
                <c:pt idx="27">
                  <c:v>380</c:v>
                </c:pt>
                <c:pt idx="28">
                  <c:v>390</c:v>
                </c:pt>
                <c:pt idx="29">
                  <c:v>400</c:v>
                </c:pt>
                <c:pt idx="30">
                  <c:v>410</c:v>
                </c:pt>
                <c:pt idx="31">
                  <c:v>420</c:v>
                </c:pt>
                <c:pt idx="32">
                  <c:v>430</c:v>
                </c:pt>
                <c:pt idx="33">
                  <c:v>440</c:v>
                </c:pt>
                <c:pt idx="34">
                  <c:v>450</c:v>
                </c:pt>
                <c:pt idx="35">
                  <c:v>460</c:v>
                </c:pt>
                <c:pt idx="36">
                  <c:v>470</c:v>
                </c:pt>
                <c:pt idx="37">
                  <c:v>480</c:v>
                </c:pt>
                <c:pt idx="38">
                  <c:v>490</c:v>
                </c:pt>
                <c:pt idx="39">
                  <c:v>500</c:v>
                </c:pt>
                <c:pt idx="40">
                  <c:v>510</c:v>
                </c:pt>
                <c:pt idx="41">
                  <c:v>520</c:v>
                </c:pt>
                <c:pt idx="42">
                  <c:v>530</c:v>
                </c:pt>
                <c:pt idx="43">
                  <c:v>540</c:v>
                </c:pt>
                <c:pt idx="44">
                  <c:v>550</c:v>
                </c:pt>
                <c:pt idx="45">
                  <c:v>560</c:v>
                </c:pt>
                <c:pt idx="46">
                  <c:v>570</c:v>
                </c:pt>
                <c:pt idx="47">
                  <c:v>580</c:v>
                </c:pt>
                <c:pt idx="48">
                  <c:v>590</c:v>
                </c:pt>
                <c:pt idx="49">
                  <c:v>600</c:v>
                </c:pt>
                <c:pt idx="50">
                  <c:v>610</c:v>
                </c:pt>
                <c:pt idx="51">
                  <c:v>620</c:v>
                </c:pt>
                <c:pt idx="52">
                  <c:v>630</c:v>
                </c:pt>
                <c:pt idx="53">
                  <c:v>640</c:v>
                </c:pt>
                <c:pt idx="54">
                  <c:v>650</c:v>
                </c:pt>
                <c:pt idx="55">
                  <c:v>660</c:v>
                </c:pt>
                <c:pt idx="56">
                  <c:v>670</c:v>
                </c:pt>
                <c:pt idx="57">
                  <c:v>680</c:v>
                </c:pt>
                <c:pt idx="58">
                  <c:v>690</c:v>
                </c:pt>
                <c:pt idx="59">
                  <c:v>700</c:v>
                </c:pt>
                <c:pt idx="60">
                  <c:v>710</c:v>
                </c:pt>
                <c:pt idx="61">
                  <c:v>720</c:v>
                </c:pt>
                <c:pt idx="62">
                  <c:v>730</c:v>
                </c:pt>
                <c:pt idx="63">
                  <c:v>740</c:v>
                </c:pt>
                <c:pt idx="64">
                  <c:v>750</c:v>
                </c:pt>
                <c:pt idx="65">
                  <c:v>760</c:v>
                </c:pt>
                <c:pt idx="66">
                  <c:v>770</c:v>
                </c:pt>
                <c:pt idx="67">
                  <c:v>780</c:v>
                </c:pt>
                <c:pt idx="68">
                  <c:v>790</c:v>
                </c:pt>
                <c:pt idx="69">
                  <c:v>800</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numCache>
            </c:numRef>
          </c:xVal>
          <c:yVal>
            <c:numRef>
              <c:f>Tools!$I$350:$I$449</c:f>
              <c:numCache>
                <c:formatCode>0.00</c:formatCode>
                <c:ptCount val="100"/>
                <c:pt idx="0">
                  <c:v>#N/A</c:v>
                </c:pt>
                <c:pt idx="1">
                  <c:v>0.48353207632656847</c:v>
                </c:pt>
                <c:pt idx="2">
                  <c:v>1.2736836248382701</c:v>
                </c:pt>
                <c:pt idx="3">
                  <c:v>1.9519727970710328</c:v>
                </c:pt>
                <c:pt idx="4">
                  <c:v>2.5366753249425464</c:v>
                </c:pt>
                <c:pt idx="5">
                  <c:v>3.0445050582842619</c:v>
                </c:pt>
                <c:pt idx="6">
                  <c:v>3.4906768631386385</c:v>
                </c:pt>
                <c:pt idx="7">
                  <c:v>3.8889695200562215</c:v>
                </c:pt>
                <c:pt idx="8">
                  <c:v>4.2517886223928922</c:v>
                </c:pt>
                <c:pt idx="9">
                  <c:v>4.5902294746069998</c:v>
                </c:pt>
                <c:pt idx="10">
                  <c:v>4.9141399905565493</c:v>
                </c:pt>
                <c:pt idx="11">
                  <c:v>5.2321835917963497</c:v>
                </c:pt>
                <c:pt idx="12">
                  <c:v>5.5519021058752207</c:v>
                </c:pt>
                <c:pt idx="13">
                  <c:v>5.8797786646331156</c:v>
                </c:pt>
                <c:pt idx="14">
                  <c:v>6.2213006024983342</c:v>
                </c:pt>
                <c:pt idx="15">
                  <c:v>6.5810223547846638</c:v>
                </c:pt>
                <c:pt idx="16">
                  <c:v>6.9626283559885724</c:v>
                </c:pt>
                <c:pt idx="17">
                  <c:v>7.3689959380863588</c:v>
                </c:pt>
                <c:pt idx="18">
                  <c:v>7.8022582288313362</c:v>
                </c:pt>
                <c:pt idx="19">
                  <c:v>8.2638670500509992</c:v>
                </c:pt>
                <c:pt idx="20">
                  <c:v>8.7546558159441954</c:v>
                </c:pt>
                <c:pt idx="21">
                  <c:v>9.2749024313782886</c:v>
                </c:pt>
                <c:pt idx="22">
                  <c:v>9.8243921901863303</c:v>
                </c:pt>
                <c:pt idx="23">
                  <c:v>10.402480673464252</c:v>
                </c:pt>
                <c:pt idx="24">
                  <c:v>11.008156647867999</c:v>
                </c:pt>
                <c:pt idx="25">
                  <c:v>11.640104963910726</c:v>
                </c:pt>
                <c:pt idx="26">
                  <c:v>12.296769454259966</c:v>
                </c:pt>
                <c:pt idx="27">
                  <c:v>12.976415832034785</c:v>
                </c:pt>
                <c:pt idx="28">
                  <c:v>13.677194589102974</c:v>
                </c:pt>
                <c:pt idx="29">
                  <c:v>14.397203894378197</c:v>
                </c:pt>
                <c:pt idx="30">
                  <c:v>15.134552492117185</c:v>
                </c:pt>
                <c:pt idx="31">
                  <c:v>15.887422600216883</c:v>
                </c:pt>
                <c:pt idx="32">
                  <c:v>16.654132808511637</c:v>
                </c:pt>
                <c:pt idx="33">
                  <c:v>17.433200977070356</c:v>
                </c:pt>
                <c:pt idx="34">
                  <c:v>18.223407134493677</c:v>
                </c:pt>
                <c:pt idx="35">
                  <c:v>19.023856376211171</c:v>
                </c:pt>
                <c:pt idx="36">
                  <c:v>19.834041762778448</c:v>
                </c:pt>
                <c:pt idx="37">
                  <c:v>20.6539072181744</c:v>
                </c:pt>
                <c:pt idx="38">
                  <c:v>21.483910428098305</c:v>
                </c:pt>
                <c:pt idx="39">
                  <c:v>22.325085738267056</c:v>
                </c:pt>
                <c:pt idx="40">
                  <c:v>23.179107052712283</c:v>
                </c:pt>
                <c:pt idx="41">
                  <c:v>24.048350732077555</c:v>
                </c:pt>
                <c:pt idx="42">
                  <c:v>24.935958491915542</c:v>
                </c:pt>
                <c:pt idx="43">
                  <c:v>25.845900300985171</c:v>
                </c:pt>
                <c:pt idx="44">
                  <c:v>26.783037279548815</c:v>
                </c:pt>
                <c:pt idx="45">
                  <c:v>27.75318459766946</c:v>
                </c:pt>
                <c:pt idx="46">
                  <c:v>28.763174373507876</c:v>
                </c:pt>
                <c:pt idx="47">
                  <c:v>29.820918571619774</c:v>
                </c:pt>
                <c:pt idx="48">
                  <c:v>30.935471901252988</c:v>
                </c:pt>
                <c:pt idx="49">
                  <c:v>32.117094714644637</c:v>
                </c:pt>
                <c:pt idx="50">
                  <c:v>33.377315905318319</c:v>
                </c:pt>
                <c:pt idx="51">
                  <c:v>34.728995806381249</c:v>
                </c:pt>
                <c:pt idx="52">
                  <c:v>36.186389088821443</c:v>
                </c:pt>
                <c:pt idx="53">
                  <c:v>37.765207659804901</c:v>
                </c:pt>
                <c:pt idx="54">
                  <c:v>39.48268356097276</c:v>
                </c:pt>
                <c:pt idx="55">
                  <c:v>41.357631866738458</c:v>
                </c:pt>
                <c:pt idx="56">
                  <c:v>43.410513582584947</c:v>
                </c:pt>
                <c:pt idx="57">
                  <c:v>45.66349854336179</c:v>
                </c:pt>
                <c:pt idx="58">
                  <c:v>48.140528311582429</c:v>
                </c:pt>
                <c:pt idx="59">
                  <c:v>50.867379075721253</c:v>
                </c:pt>
                <c:pt idx="60">
                  <c:v>53.871724548510812</c:v>
                </c:pt>
                <c:pt idx="61">
                  <c:v>57.183198865239063</c:v>
                </c:pt>
                <c:pt idx="62">
                  <c:v>60.833459482046365</c:v>
                </c:pt>
                <c:pt idx="63">
                  <c:v>64.856250074222828</c:v>
                </c:pt>
                <c:pt idx="64">
                  <c:v>69.287463434505398</c:v>
                </c:pt>
                <c:pt idx="65">
                  <c:v>74.165204371375012</c:v>
                </c:pt>
                <c:pt idx="66">
                  <c:v>79.529852607353817</c:v>
                </c:pt>
                <c:pt idx="67">
                  <c:v>85.424125677302285</c:v>
                </c:pt>
                <c:pt idx="68">
                  <c:v>91.89314182671643</c:v>
                </c:pt>
                <c:pt idx="69">
                  <c:v>98.984482910025022</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numCache>
            </c:numRef>
          </c:yVal>
          <c:smooth val="1"/>
          <c:extLst>
            <c:ext xmlns:c16="http://schemas.microsoft.com/office/drawing/2014/chart" uri="{C3380CC4-5D6E-409C-BE32-E72D297353CC}">
              <c16:uniqueId val="{00000003-EDDF-4B8A-B0ED-A09CF4E35FD6}"/>
            </c:ext>
          </c:extLst>
        </c:ser>
        <c:dLbls>
          <c:showLegendKey val="0"/>
          <c:showVal val="0"/>
          <c:showCatName val="0"/>
          <c:showSerName val="0"/>
          <c:showPercent val="0"/>
          <c:showBubbleSize val="0"/>
        </c:dLbls>
        <c:axId val="1466272384"/>
        <c:axId val="1466273344"/>
      </c:scatterChart>
      <c:valAx>
        <c:axId val="1466272384"/>
        <c:scaling>
          <c:orientation val="minMax"/>
        </c:scaling>
        <c:delete val="0"/>
        <c:axPos val="b"/>
        <c:majorGridlines>
          <c:spPr>
            <a:ln w="9525" cap="flat" cmpd="sng" algn="ctr">
              <a:solidFill>
                <a:srgbClr val="F5F5F5"/>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r>
                  <a:rPr lang="de-DE" sz="1100" b="1" i="0" u="none" strike="noStrike" kern="1200" baseline="0">
                    <a:solidFill>
                      <a:srgbClr val="595959"/>
                    </a:solidFill>
                    <a:latin typeface="Aptos Narrow" panose="020B0004020202020204" pitchFamily="34" charset="0"/>
                  </a:rPr>
                  <a:t>tp</a:t>
                </a:r>
                <a:endParaRPr lang="de-DE" sz="1100" b="1" i="0" u="none" strike="noStrike" kern="1200" baseline="-25000">
                  <a:solidFill>
                    <a:srgbClr val="595959"/>
                  </a:solidFill>
                  <a:latin typeface="Aptos Narrow" panose="020B0004020202020204" pitchFamily="34" charset="0"/>
                </a:endParaRPr>
              </a:p>
            </c:rich>
          </c:tx>
          <c:layout>
            <c:manualLayout>
              <c:xMode val="edge"/>
              <c:yMode val="edge"/>
              <c:x val="0.50754848106842987"/>
              <c:y val="0.869510836239550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de-DE"/>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crossAx val="1466273344"/>
        <c:crosses val="autoZero"/>
        <c:crossBetween val="midCat"/>
      </c:valAx>
      <c:valAx>
        <c:axId val="1466273344"/>
        <c:scaling>
          <c:orientation val="minMax"/>
          <c:min val="0"/>
        </c:scaling>
        <c:delete val="0"/>
        <c:axPos val="l"/>
        <c:majorGridlines>
          <c:spPr>
            <a:ln w="9525" cap="flat" cmpd="sng" algn="ctr">
              <a:solidFill>
                <a:srgbClr val="F5F5F5"/>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75000"/>
                        <a:lumOff val="25000"/>
                      </a:schemeClr>
                    </a:solidFill>
                    <a:latin typeface="Aptos Narrow" panose="020B0004020202020204" pitchFamily="34" charset="0"/>
                    <a:ea typeface="+mn-ea"/>
                    <a:cs typeface="+mn-cs"/>
                  </a:defRPr>
                </a:pPr>
                <a:r>
                  <a:rPr lang="de-DE" sz="1100" b="1">
                    <a:solidFill>
                      <a:srgbClr val="595959"/>
                    </a:solidFill>
                    <a:latin typeface="Aptos Narrow" panose="020B0004020202020204" pitchFamily="34" charset="0"/>
                  </a:rPr>
                  <a:t>Moisture [%]</a:t>
                </a:r>
                <a:endParaRPr lang="de-DE" sz="1100" b="1" baseline="-25000">
                  <a:solidFill>
                    <a:srgbClr val="595959"/>
                  </a:solidFill>
                  <a:latin typeface="Aptos Narrow" panose="020B0004020202020204" pitchFamily="34" charset="0"/>
                </a:endParaRPr>
              </a:p>
            </c:rich>
          </c:tx>
          <c:layout>
            <c:manualLayout>
              <c:xMode val="edge"/>
              <c:yMode val="edge"/>
              <c:x val="1.6666666666666666E-2"/>
              <c:y val="0.3535583052118485"/>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title>
        <c:numFmt formatCode="#,##0" sourceLinked="0"/>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crossAx val="1466272384"/>
        <c:crosses val="autoZero"/>
        <c:crossBetween val="midCat"/>
      </c:valAx>
      <c:spPr>
        <a:noFill/>
        <a:ln>
          <a:noFill/>
        </a:ln>
        <a:effectLst/>
      </c:spPr>
    </c:plotArea>
    <c:legend>
      <c:legendPos val="b"/>
      <c:layout>
        <c:manualLayout>
          <c:xMode val="edge"/>
          <c:yMode val="edge"/>
          <c:x val="0.39168717745498466"/>
          <c:y val="0.92926036905878895"/>
          <c:w val="0.22920804048197482"/>
          <c:h val="6.6527717523510388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BFBFB"/>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de-DE" sz="1100">
                <a:solidFill>
                  <a:schemeClr val="tx1">
                    <a:lumMod val="75000"/>
                    <a:lumOff val="25000"/>
                  </a:schemeClr>
                </a:solidFill>
                <a:latin typeface="Aptos Narrow" panose="020B0004020202020204" pitchFamily="34" charset="0"/>
              </a:rPr>
              <a:t>Conversion based on </a:t>
            </a:r>
            <a:r>
              <a:rPr lang="de-DE" sz="1100" b="1">
                <a:solidFill>
                  <a:schemeClr val="tx1">
                    <a:lumMod val="75000"/>
                    <a:lumOff val="25000"/>
                  </a:schemeClr>
                </a:solidFill>
                <a:latin typeface="Aptos Narrow" panose="020B0004020202020204" pitchFamily="34" charset="0"/>
              </a:rPr>
              <a:t>Dry</a:t>
            </a:r>
            <a:r>
              <a:rPr lang="de-DE" sz="1100">
                <a:solidFill>
                  <a:schemeClr val="tx1">
                    <a:lumMod val="75000"/>
                    <a:lumOff val="25000"/>
                  </a:schemeClr>
                </a:solidFill>
                <a:latin typeface="Aptos Narrow" panose="020B0004020202020204" pitchFamily="34" charset="0"/>
              </a:rPr>
              <a:t> Material</a:t>
            </a:r>
          </a:p>
        </c:rich>
      </c:tx>
      <c:layout>
        <c:manualLayout>
          <c:xMode val="edge"/>
          <c:yMode val="edge"/>
          <c:x val="0.32839318380656962"/>
          <c:y val="3.0075187969924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18855384554203453"/>
          <c:y val="0.16089129483814524"/>
          <c:w val="0.74920315358307488"/>
          <c:h val="0.62472550306211727"/>
        </c:manualLayout>
      </c:layout>
      <c:scatterChart>
        <c:scatterStyle val="smoothMarker"/>
        <c:varyColors val="0"/>
        <c:ser>
          <c:idx val="0"/>
          <c:order val="0"/>
          <c:tx>
            <c:strRef>
              <c:f>Tools!$C$43</c:f>
              <c:strCache>
                <c:ptCount val="1"/>
                <c:pt idx="0">
                  <c:v>β = 2,5</c:v>
                </c:pt>
              </c:strCache>
            </c:strRef>
          </c:tx>
          <c:spPr>
            <a:ln w="19050" cap="rnd">
              <a:solidFill>
                <a:schemeClr val="accent1"/>
              </a:solidFill>
              <a:round/>
            </a:ln>
            <a:effectLst/>
          </c:spPr>
          <c:marker>
            <c:symbol val="none"/>
          </c:marker>
          <c:xVal>
            <c:numRef>
              <c:f>Tools!$B$45:$B$65</c:f>
              <c:numCache>
                <c:formatCode>0%</c:formatCode>
                <c:ptCount val="2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numCache>
            </c:numRef>
          </c:xVal>
          <c:yVal>
            <c:numRef>
              <c:f>Tools!$C$45:$C$65</c:f>
              <c:numCache>
                <c:formatCode>0%</c:formatCode>
                <c:ptCount val="21"/>
                <c:pt idx="0">
                  <c:v>0</c:v>
                </c:pt>
                <c:pt idx="1">
                  <c:v>0.02</c:v>
                </c:pt>
                <c:pt idx="2">
                  <c:v>0.04</c:v>
                </c:pt>
                <c:pt idx="3">
                  <c:v>0.06</c:v>
                </c:pt>
                <c:pt idx="4">
                  <c:v>0.08</c:v>
                </c:pt>
                <c:pt idx="5">
                  <c:v>0.1</c:v>
                </c:pt>
                <c:pt idx="6">
                  <c:v>0.12</c:v>
                </c:pt>
                <c:pt idx="7">
                  <c:v>0.13999999999999999</c:v>
                </c:pt>
                <c:pt idx="8">
                  <c:v>0.16</c:v>
                </c:pt>
                <c:pt idx="9">
                  <c:v>0.18</c:v>
                </c:pt>
                <c:pt idx="10">
                  <c:v>0.2</c:v>
                </c:pt>
                <c:pt idx="11">
                  <c:v>0.22000000000000003</c:v>
                </c:pt>
                <c:pt idx="12">
                  <c:v>0.24</c:v>
                </c:pt>
                <c:pt idx="13">
                  <c:v>0.26</c:v>
                </c:pt>
                <c:pt idx="14">
                  <c:v>0.27999999999999997</c:v>
                </c:pt>
                <c:pt idx="15">
                  <c:v>0.3</c:v>
                </c:pt>
                <c:pt idx="16">
                  <c:v>0.32</c:v>
                </c:pt>
                <c:pt idx="17">
                  <c:v>0.33999999999999997</c:v>
                </c:pt>
                <c:pt idx="18">
                  <c:v>0.36</c:v>
                </c:pt>
                <c:pt idx="19">
                  <c:v>0.38</c:v>
                </c:pt>
                <c:pt idx="20">
                  <c:v>0.4</c:v>
                </c:pt>
              </c:numCache>
            </c:numRef>
          </c:yVal>
          <c:smooth val="1"/>
          <c:extLst>
            <c:ext xmlns:c16="http://schemas.microsoft.com/office/drawing/2014/chart" uri="{C3380CC4-5D6E-409C-BE32-E72D297353CC}">
              <c16:uniqueId val="{00000000-71D1-4CA7-879B-934E9BDF8049}"/>
            </c:ext>
          </c:extLst>
        </c:ser>
        <c:ser>
          <c:idx val="1"/>
          <c:order val="1"/>
          <c:tx>
            <c:strRef>
              <c:f>Tools!$D$43</c:f>
              <c:strCache>
                <c:ptCount val="1"/>
                <c:pt idx="0">
                  <c:v>β = 1,0</c:v>
                </c:pt>
              </c:strCache>
            </c:strRef>
          </c:tx>
          <c:spPr>
            <a:ln w="19050" cap="rnd">
              <a:solidFill>
                <a:schemeClr val="accent2"/>
              </a:solidFill>
              <a:round/>
            </a:ln>
            <a:effectLst/>
          </c:spPr>
          <c:marker>
            <c:symbol val="none"/>
          </c:marker>
          <c:xVal>
            <c:numRef>
              <c:f>Tools!$B$45:$B$65</c:f>
              <c:numCache>
                <c:formatCode>0%</c:formatCode>
                <c:ptCount val="2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numCache>
            </c:numRef>
          </c:xVal>
          <c:yVal>
            <c:numRef>
              <c:f>Tools!$D$45:$D$65</c:f>
              <c:numCache>
                <c:formatCode>0%</c:formatCode>
                <c:ptCount val="2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numCache>
            </c:numRef>
          </c:yVal>
          <c:smooth val="1"/>
          <c:extLst>
            <c:ext xmlns:c16="http://schemas.microsoft.com/office/drawing/2014/chart" uri="{C3380CC4-5D6E-409C-BE32-E72D297353CC}">
              <c16:uniqueId val="{00000001-71D1-4CA7-879B-934E9BDF8049}"/>
            </c:ext>
          </c:extLst>
        </c:ser>
        <c:ser>
          <c:idx val="2"/>
          <c:order val="2"/>
          <c:tx>
            <c:strRef>
              <c:f>Tools!$E$43</c:f>
              <c:strCache>
                <c:ptCount val="1"/>
                <c:pt idx="0">
                  <c:v>β = 0,25</c:v>
                </c:pt>
              </c:strCache>
            </c:strRef>
          </c:tx>
          <c:spPr>
            <a:ln w="19050" cap="rnd">
              <a:solidFill>
                <a:schemeClr val="accent3"/>
              </a:solidFill>
              <a:round/>
            </a:ln>
            <a:effectLst/>
          </c:spPr>
          <c:marker>
            <c:symbol val="none"/>
          </c:marker>
          <c:xVal>
            <c:numRef>
              <c:f>Tools!$B$45:$B$65</c:f>
              <c:numCache>
                <c:formatCode>0%</c:formatCode>
                <c:ptCount val="2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numCache>
            </c:numRef>
          </c:xVal>
          <c:yVal>
            <c:numRef>
              <c:f>Tools!$E$45:$E$65</c:f>
              <c:numCache>
                <c:formatCode>0%</c:formatCode>
                <c:ptCount val="21"/>
                <c:pt idx="0">
                  <c:v>0</c:v>
                </c:pt>
                <c:pt idx="1">
                  <c:v>0.2</c:v>
                </c:pt>
                <c:pt idx="2">
                  <c:v>0.4</c:v>
                </c:pt>
                <c:pt idx="3">
                  <c:v>0.6</c:v>
                </c:pt>
                <c:pt idx="4">
                  <c:v>0.8</c:v>
                </c:pt>
                <c:pt idx="5">
                  <c:v>1</c:v>
                </c:pt>
                <c:pt idx="6">
                  <c:v>1.2</c:v>
                </c:pt>
                <c:pt idx="7">
                  <c:v>1.4</c:v>
                </c:pt>
                <c:pt idx="8">
                  <c:v>1.6</c:v>
                </c:pt>
                <c:pt idx="9">
                  <c:v>1.8</c:v>
                </c:pt>
                <c:pt idx="10">
                  <c:v>2</c:v>
                </c:pt>
                <c:pt idx="11">
                  <c:v>2.2000000000000002</c:v>
                </c:pt>
                <c:pt idx="12">
                  <c:v>2.4</c:v>
                </c:pt>
                <c:pt idx="13">
                  <c:v>2.6</c:v>
                </c:pt>
                <c:pt idx="14">
                  <c:v>2.8</c:v>
                </c:pt>
                <c:pt idx="15">
                  <c:v>3</c:v>
                </c:pt>
                <c:pt idx="16">
                  <c:v>3.2</c:v>
                </c:pt>
                <c:pt idx="17">
                  <c:v>3.4</c:v>
                </c:pt>
                <c:pt idx="18">
                  <c:v>3.6</c:v>
                </c:pt>
                <c:pt idx="19">
                  <c:v>3.8</c:v>
                </c:pt>
                <c:pt idx="20">
                  <c:v>4</c:v>
                </c:pt>
              </c:numCache>
            </c:numRef>
          </c:yVal>
          <c:smooth val="1"/>
          <c:extLst>
            <c:ext xmlns:c16="http://schemas.microsoft.com/office/drawing/2014/chart" uri="{C3380CC4-5D6E-409C-BE32-E72D297353CC}">
              <c16:uniqueId val="{00000002-71D1-4CA7-879B-934E9BDF8049}"/>
            </c:ext>
          </c:extLst>
        </c:ser>
        <c:dLbls>
          <c:showLegendKey val="0"/>
          <c:showVal val="0"/>
          <c:showCatName val="0"/>
          <c:showSerName val="0"/>
          <c:showPercent val="0"/>
          <c:showBubbleSize val="0"/>
        </c:dLbls>
        <c:axId val="1466272384"/>
        <c:axId val="1466273344"/>
      </c:scatterChart>
      <c:valAx>
        <c:axId val="1466272384"/>
        <c:scaling>
          <c:orientation val="minMax"/>
          <c:max val="1"/>
        </c:scaling>
        <c:delete val="0"/>
        <c:axPos val="b"/>
        <c:majorGridlines>
          <c:spPr>
            <a:ln w="9525" cap="flat" cmpd="sng" algn="ctr">
              <a:solidFill>
                <a:srgbClr val="F5F5F5"/>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r>
                  <a:rPr lang="de-DE" sz="1100" b="1" i="0" u="none" strike="noStrike" kern="1200" baseline="0">
                    <a:solidFill>
                      <a:schemeClr val="tx1">
                        <a:lumMod val="75000"/>
                        <a:lumOff val="25000"/>
                      </a:schemeClr>
                    </a:solidFill>
                    <a:latin typeface="Aptos Narrow" panose="020B0004020202020204" pitchFamily="34" charset="0"/>
                  </a:rPr>
                  <a:t>%M</a:t>
                </a:r>
                <a:r>
                  <a:rPr lang="de-DE" sz="1100" b="1" i="0" u="none" strike="noStrike" kern="1200" baseline="-25000">
                    <a:solidFill>
                      <a:schemeClr val="tx1">
                        <a:lumMod val="75000"/>
                        <a:lumOff val="25000"/>
                      </a:schemeClr>
                    </a:solidFill>
                    <a:latin typeface="Aptos Narrow" panose="020B0004020202020204" pitchFamily="34" charset="0"/>
                  </a:rPr>
                  <a:t>VOL,DRY</a:t>
                </a:r>
              </a:p>
            </c:rich>
          </c:tx>
          <c:layout>
            <c:manualLayout>
              <c:xMode val="edge"/>
              <c:yMode val="edge"/>
              <c:x val="0.50754855643044605"/>
              <c:y val="0.8873067949839603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de-DE"/>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crossAx val="1466273344"/>
        <c:crosses val="autoZero"/>
        <c:crossBetween val="midCat"/>
      </c:valAx>
      <c:valAx>
        <c:axId val="1466273344"/>
        <c:scaling>
          <c:orientation val="minMax"/>
          <c:max val="2"/>
        </c:scaling>
        <c:delete val="0"/>
        <c:axPos val="l"/>
        <c:majorGridlines>
          <c:spPr>
            <a:ln w="9525" cap="flat" cmpd="sng" algn="ctr">
              <a:solidFill>
                <a:srgbClr val="F5F5F5"/>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75000"/>
                        <a:lumOff val="25000"/>
                      </a:schemeClr>
                    </a:solidFill>
                    <a:latin typeface="Aptos Narrow" panose="020B0004020202020204" pitchFamily="34" charset="0"/>
                    <a:ea typeface="+mn-ea"/>
                    <a:cs typeface="+mn-cs"/>
                  </a:defRPr>
                </a:pPr>
                <a:r>
                  <a:rPr lang="de-DE" sz="1100" b="1">
                    <a:solidFill>
                      <a:schemeClr val="tx1">
                        <a:lumMod val="75000"/>
                        <a:lumOff val="25000"/>
                      </a:schemeClr>
                    </a:solidFill>
                    <a:latin typeface="Aptos Narrow" panose="020B0004020202020204" pitchFamily="34" charset="0"/>
                  </a:rPr>
                  <a:t>%M</a:t>
                </a:r>
                <a:r>
                  <a:rPr lang="de-DE" sz="1100" b="1" baseline="-25000">
                    <a:solidFill>
                      <a:schemeClr val="tx1">
                        <a:lumMod val="75000"/>
                        <a:lumOff val="25000"/>
                      </a:schemeClr>
                    </a:solidFill>
                    <a:latin typeface="Aptos Narrow" panose="020B0004020202020204" pitchFamily="34" charset="0"/>
                  </a:rPr>
                  <a:t>GRAV,DRY</a:t>
                </a:r>
              </a:p>
            </c:rich>
          </c:tx>
          <c:layout>
            <c:manualLayout>
              <c:xMode val="edge"/>
              <c:yMode val="edge"/>
              <c:x val="1.6666666666666666E-2"/>
              <c:y val="0.3535583052118485"/>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title>
        <c:numFmt formatCode="0%"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crossAx val="1466272384"/>
        <c:crosses val="autoZero"/>
        <c:crossBetween val="midCat"/>
      </c:valAx>
      <c:spPr>
        <a:noFill/>
        <a:ln>
          <a:noFill/>
        </a:ln>
        <a:effectLst/>
      </c:spPr>
    </c:plotArea>
    <c:legend>
      <c:legendPos val="b"/>
      <c:layout>
        <c:manualLayout>
          <c:xMode val="edge"/>
          <c:yMode val="edge"/>
          <c:x val="0.72668346958517105"/>
          <c:y val="0.18083396479479188"/>
          <c:w val="0.21000568678915138"/>
          <c:h val="0.2161654272382618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BFBFB"/>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de-DE" sz="1100">
                <a:solidFill>
                  <a:schemeClr val="tx1">
                    <a:lumMod val="75000"/>
                    <a:lumOff val="25000"/>
                  </a:schemeClr>
                </a:solidFill>
                <a:latin typeface="Aptos Narrow" panose="020B0004020202020204" pitchFamily="34" charset="0"/>
              </a:rPr>
              <a:t>Conversion based on </a:t>
            </a:r>
            <a:r>
              <a:rPr lang="de-DE" sz="1100" b="1">
                <a:solidFill>
                  <a:schemeClr val="tx1">
                    <a:lumMod val="75000"/>
                    <a:lumOff val="25000"/>
                  </a:schemeClr>
                </a:solidFill>
                <a:latin typeface="Aptos Narrow" panose="020B0004020202020204" pitchFamily="34" charset="0"/>
              </a:rPr>
              <a:t>Wet</a:t>
            </a:r>
            <a:r>
              <a:rPr lang="de-DE" sz="1100">
                <a:solidFill>
                  <a:schemeClr val="tx1">
                    <a:lumMod val="75000"/>
                    <a:lumOff val="25000"/>
                  </a:schemeClr>
                </a:solidFill>
                <a:latin typeface="Aptos Narrow" panose="020B0004020202020204" pitchFamily="34" charset="0"/>
              </a:rPr>
              <a:t> Material</a:t>
            </a:r>
          </a:p>
        </c:rich>
      </c:tx>
      <c:layout>
        <c:manualLayout>
          <c:xMode val="edge"/>
          <c:yMode val="edge"/>
          <c:x val="0.32839318380656962"/>
          <c:y val="3.0075187969924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18855384554203453"/>
          <c:y val="0.16089129483814524"/>
          <c:w val="0.74920315358307488"/>
          <c:h val="0.62472550306211727"/>
        </c:manualLayout>
      </c:layout>
      <c:scatterChart>
        <c:scatterStyle val="smoothMarker"/>
        <c:varyColors val="0"/>
        <c:ser>
          <c:idx val="0"/>
          <c:order val="0"/>
          <c:tx>
            <c:strRef>
              <c:f>Tools!$H$43</c:f>
              <c:strCache>
                <c:ptCount val="1"/>
                <c:pt idx="0">
                  <c:v>β = 2,5</c:v>
                </c:pt>
              </c:strCache>
            </c:strRef>
          </c:tx>
          <c:spPr>
            <a:ln w="19050" cap="rnd">
              <a:solidFill>
                <a:schemeClr val="accent1"/>
              </a:solidFill>
              <a:round/>
            </a:ln>
            <a:effectLst/>
          </c:spPr>
          <c:marker>
            <c:symbol val="none"/>
          </c:marker>
          <c:xVal>
            <c:numRef>
              <c:f>Tools!$B$45:$B$65</c:f>
              <c:numCache>
                <c:formatCode>0%</c:formatCode>
                <c:ptCount val="2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numCache>
            </c:numRef>
          </c:xVal>
          <c:yVal>
            <c:numRef>
              <c:f>Tools!$H$45:$H$65</c:f>
              <c:numCache>
                <c:formatCode>0%</c:formatCode>
                <c:ptCount val="21"/>
                <c:pt idx="0">
                  <c:v>0</c:v>
                </c:pt>
                <c:pt idx="1">
                  <c:v>2.0618556701030931E-2</c:v>
                </c:pt>
                <c:pt idx="2">
                  <c:v>4.2553191489361701E-2</c:v>
                </c:pt>
                <c:pt idx="3">
                  <c:v>6.5934065934065936E-2</c:v>
                </c:pt>
                <c:pt idx="4">
                  <c:v>9.0909090909090912E-2</c:v>
                </c:pt>
                <c:pt idx="5">
                  <c:v>0.11764705882352941</c:v>
                </c:pt>
                <c:pt idx="6">
                  <c:v>0.14634146341463417</c:v>
                </c:pt>
                <c:pt idx="7">
                  <c:v>0.17721518987341769</c:v>
                </c:pt>
                <c:pt idx="8">
                  <c:v>0.2105263157894737</c:v>
                </c:pt>
                <c:pt idx="9">
                  <c:v>0.24657534246575344</c:v>
                </c:pt>
                <c:pt idx="10">
                  <c:v>0.2857142857142857</c:v>
                </c:pt>
                <c:pt idx="11">
                  <c:v>0.32835820895522388</c:v>
                </c:pt>
                <c:pt idx="12">
                  <c:v>0.37499999999999994</c:v>
                </c:pt>
                <c:pt idx="13">
                  <c:v>0.42622950819672134</c:v>
                </c:pt>
                <c:pt idx="14">
                  <c:v>0.48275862068965508</c:v>
                </c:pt>
                <c:pt idx="15">
                  <c:v>0.54545454545454541</c:v>
                </c:pt>
                <c:pt idx="16">
                  <c:v>0.61538461538461553</c:v>
                </c:pt>
                <c:pt idx="17">
                  <c:v>0.69387755102040805</c:v>
                </c:pt>
                <c:pt idx="18">
                  <c:v>0.78260869565217395</c:v>
                </c:pt>
                <c:pt idx="19">
                  <c:v>0.88372093023255793</c:v>
                </c:pt>
                <c:pt idx="20">
                  <c:v>1</c:v>
                </c:pt>
              </c:numCache>
            </c:numRef>
          </c:yVal>
          <c:smooth val="1"/>
          <c:extLst>
            <c:ext xmlns:c16="http://schemas.microsoft.com/office/drawing/2014/chart" uri="{C3380CC4-5D6E-409C-BE32-E72D297353CC}">
              <c16:uniqueId val="{00000000-3B89-4540-B65A-676D0F6A7CB8}"/>
            </c:ext>
          </c:extLst>
        </c:ser>
        <c:ser>
          <c:idx val="1"/>
          <c:order val="1"/>
          <c:tx>
            <c:strRef>
              <c:f>Tools!$I$43</c:f>
              <c:strCache>
                <c:ptCount val="1"/>
                <c:pt idx="0">
                  <c:v>β = 1,0</c:v>
                </c:pt>
              </c:strCache>
            </c:strRef>
          </c:tx>
          <c:spPr>
            <a:ln w="19050" cap="rnd">
              <a:solidFill>
                <a:schemeClr val="accent2"/>
              </a:solidFill>
              <a:round/>
            </a:ln>
            <a:effectLst/>
          </c:spPr>
          <c:marker>
            <c:symbol val="none"/>
          </c:marker>
          <c:xVal>
            <c:numRef>
              <c:f>Tools!$B$45:$B$65</c:f>
              <c:numCache>
                <c:formatCode>0%</c:formatCode>
                <c:ptCount val="2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numCache>
            </c:numRef>
          </c:xVal>
          <c:yVal>
            <c:numRef>
              <c:f>Tools!$I$45:$I$65</c:f>
              <c:numCache>
                <c:formatCode>0%</c:formatCode>
                <c:ptCount val="2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numCache>
            </c:numRef>
          </c:yVal>
          <c:smooth val="1"/>
          <c:extLst>
            <c:ext xmlns:c16="http://schemas.microsoft.com/office/drawing/2014/chart" uri="{C3380CC4-5D6E-409C-BE32-E72D297353CC}">
              <c16:uniqueId val="{00000001-3B89-4540-B65A-676D0F6A7CB8}"/>
            </c:ext>
          </c:extLst>
        </c:ser>
        <c:ser>
          <c:idx val="2"/>
          <c:order val="2"/>
          <c:tx>
            <c:strRef>
              <c:f>Tools!$J$43</c:f>
              <c:strCache>
                <c:ptCount val="1"/>
                <c:pt idx="0">
                  <c:v>β = 0,25</c:v>
                </c:pt>
              </c:strCache>
            </c:strRef>
          </c:tx>
          <c:spPr>
            <a:ln w="19050" cap="rnd">
              <a:solidFill>
                <a:schemeClr val="accent3"/>
              </a:solidFill>
              <a:round/>
            </a:ln>
            <a:effectLst/>
          </c:spPr>
          <c:marker>
            <c:symbol val="none"/>
          </c:marker>
          <c:xVal>
            <c:numRef>
              <c:f>Tools!$B$45:$B$65</c:f>
              <c:numCache>
                <c:formatCode>0%</c:formatCode>
                <c:ptCount val="2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numCache>
            </c:numRef>
          </c:xVal>
          <c:yVal>
            <c:numRef>
              <c:f>Tools!$J$45:$J$65</c:f>
              <c:numCache>
                <c:formatCode>0%</c:formatCode>
                <c:ptCount val="21"/>
                <c:pt idx="0">
                  <c:v>0</c:v>
                </c:pt>
                <c:pt idx="1">
                  <c:v>0.17391304347826089</c:v>
                </c:pt>
                <c:pt idx="2">
                  <c:v>0.30769230769230771</c:v>
                </c:pt>
                <c:pt idx="3">
                  <c:v>0.41379310344827586</c:v>
                </c:pt>
                <c:pt idx="4">
                  <c:v>0.5</c:v>
                </c:pt>
                <c:pt idx="5">
                  <c:v>0.5714285714285714</c:v>
                </c:pt>
                <c:pt idx="6">
                  <c:v>0.63157894736842102</c:v>
                </c:pt>
                <c:pt idx="7">
                  <c:v>0.68292682926829273</c:v>
                </c:pt>
                <c:pt idx="8">
                  <c:v>0.72727272727272729</c:v>
                </c:pt>
                <c:pt idx="9">
                  <c:v>0.76595744680851063</c:v>
                </c:pt>
                <c:pt idx="10">
                  <c:v>0.8</c:v>
                </c:pt>
                <c:pt idx="11">
                  <c:v>0.83018867924528295</c:v>
                </c:pt>
                <c:pt idx="12">
                  <c:v>0.85714285714285721</c:v>
                </c:pt>
                <c:pt idx="13">
                  <c:v>0.88135593220338981</c:v>
                </c:pt>
                <c:pt idx="14">
                  <c:v>0.90322580645161299</c:v>
                </c:pt>
                <c:pt idx="15">
                  <c:v>0.92307692307692313</c:v>
                </c:pt>
                <c:pt idx="16">
                  <c:v>0.94117647058823528</c:v>
                </c:pt>
                <c:pt idx="17">
                  <c:v>0.95774647887323949</c:v>
                </c:pt>
                <c:pt idx="18">
                  <c:v>0.97297297297297292</c:v>
                </c:pt>
                <c:pt idx="19">
                  <c:v>0.98701298701298701</c:v>
                </c:pt>
                <c:pt idx="20">
                  <c:v>1</c:v>
                </c:pt>
              </c:numCache>
            </c:numRef>
          </c:yVal>
          <c:smooth val="1"/>
          <c:extLst>
            <c:ext xmlns:c16="http://schemas.microsoft.com/office/drawing/2014/chart" uri="{C3380CC4-5D6E-409C-BE32-E72D297353CC}">
              <c16:uniqueId val="{00000002-3B89-4540-B65A-676D0F6A7CB8}"/>
            </c:ext>
          </c:extLst>
        </c:ser>
        <c:dLbls>
          <c:showLegendKey val="0"/>
          <c:showVal val="0"/>
          <c:showCatName val="0"/>
          <c:showSerName val="0"/>
          <c:showPercent val="0"/>
          <c:showBubbleSize val="0"/>
        </c:dLbls>
        <c:axId val="1466272384"/>
        <c:axId val="1466273344"/>
      </c:scatterChart>
      <c:valAx>
        <c:axId val="1466272384"/>
        <c:scaling>
          <c:orientation val="minMax"/>
          <c:max val="1"/>
        </c:scaling>
        <c:delete val="0"/>
        <c:axPos val="b"/>
        <c:majorGridlines>
          <c:spPr>
            <a:ln w="9525" cap="flat" cmpd="sng" algn="ctr">
              <a:solidFill>
                <a:srgbClr val="F5F5F5"/>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r>
                  <a:rPr lang="de-DE" sz="1100" b="1" i="0" u="none" strike="noStrike" kern="1200" baseline="0">
                    <a:solidFill>
                      <a:schemeClr val="tx1">
                        <a:lumMod val="75000"/>
                        <a:lumOff val="25000"/>
                      </a:schemeClr>
                    </a:solidFill>
                    <a:latin typeface="Aptos Narrow" panose="020B0004020202020204" pitchFamily="34" charset="0"/>
                  </a:rPr>
                  <a:t>%M</a:t>
                </a:r>
                <a:r>
                  <a:rPr lang="de-DE" sz="1100" b="1" i="0" u="none" strike="noStrike" kern="1200" baseline="-25000">
                    <a:solidFill>
                      <a:schemeClr val="tx1">
                        <a:lumMod val="75000"/>
                        <a:lumOff val="25000"/>
                      </a:schemeClr>
                    </a:solidFill>
                    <a:latin typeface="Aptos Narrow" panose="020B0004020202020204" pitchFamily="34" charset="0"/>
                  </a:rPr>
                  <a:t>VOL,TOTAL</a:t>
                </a:r>
              </a:p>
            </c:rich>
          </c:tx>
          <c:layout>
            <c:manualLayout>
              <c:xMode val="edge"/>
              <c:yMode val="edge"/>
              <c:x val="0.50754855643044605"/>
              <c:y val="0.8873067949839603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de-DE"/>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crossAx val="1466273344"/>
        <c:crosses val="autoZero"/>
        <c:crossBetween val="midCat"/>
      </c:valAx>
      <c:valAx>
        <c:axId val="1466273344"/>
        <c:scaling>
          <c:orientation val="minMax"/>
          <c:max val="1"/>
        </c:scaling>
        <c:delete val="0"/>
        <c:axPos val="l"/>
        <c:majorGridlines>
          <c:spPr>
            <a:ln w="9525" cap="flat" cmpd="sng" algn="ctr">
              <a:solidFill>
                <a:srgbClr val="F5F5F5"/>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75000"/>
                        <a:lumOff val="25000"/>
                      </a:schemeClr>
                    </a:solidFill>
                    <a:latin typeface="Aptos Narrow" panose="020B0004020202020204" pitchFamily="34" charset="0"/>
                    <a:ea typeface="+mn-ea"/>
                    <a:cs typeface="+mn-cs"/>
                  </a:defRPr>
                </a:pPr>
                <a:r>
                  <a:rPr lang="de-DE" sz="1100" b="1">
                    <a:solidFill>
                      <a:schemeClr val="tx1">
                        <a:lumMod val="75000"/>
                        <a:lumOff val="25000"/>
                      </a:schemeClr>
                    </a:solidFill>
                    <a:latin typeface="Aptos Narrow" panose="020B0004020202020204" pitchFamily="34" charset="0"/>
                  </a:rPr>
                  <a:t>%M</a:t>
                </a:r>
                <a:r>
                  <a:rPr lang="de-DE" sz="1100" b="1" baseline="-25000">
                    <a:solidFill>
                      <a:schemeClr val="tx1">
                        <a:lumMod val="75000"/>
                        <a:lumOff val="25000"/>
                      </a:schemeClr>
                    </a:solidFill>
                    <a:latin typeface="Aptos Narrow" panose="020B0004020202020204" pitchFamily="34" charset="0"/>
                  </a:rPr>
                  <a:t>GRAV,TOTAL</a:t>
                </a:r>
              </a:p>
            </c:rich>
          </c:tx>
          <c:layout>
            <c:manualLayout>
              <c:xMode val="edge"/>
              <c:yMode val="edge"/>
              <c:x val="1.6666666666666666E-2"/>
              <c:y val="0.3535583052118485"/>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title>
        <c:numFmt formatCode="0%" sourceLinked="1"/>
        <c:majorTickMark val="none"/>
        <c:minorTickMark val="none"/>
        <c:tickLblPos val="nextTo"/>
        <c:spPr>
          <a:noFill/>
          <a:ln w="9525" cap="flat" cmpd="sng" algn="ctr">
            <a:solidFill>
              <a:schemeClr val="bg2">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crossAx val="1466272384"/>
        <c:crosses val="autoZero"/>
        <c:crossBetween val="midCat"/>
      </c:valAx>
      <c:spPr>
        <a:noFill/>
        <a:ln>
          <a:noFill/>
        </a:ln>
        <a:effectLst/>
      </c:spPr>
    </c:plotArea>
    <c:legend>
      <c:legendPos val="b"/>
      <c:layout>
        <c:manualLayout>
          <c:xMode val="edge"/>
          <c:yMode val="edge"/>
          <c:x val="0.72261944562932556"/>
          <c:y val="0.56097646885048458"/>
          <c:w val="0.21000568678915138"/>
          <c:h val="0.2161654272382618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Narrow" panose="020B0004020202020204" pitchFamily="34" charset="0"/>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BFBFB"/>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1"/>
          <c:order val="1"/>
          <c:tx>
            <c:v>OUT</c:v>
          </c:tx>
          <c:spPr>
            <a:ln w="57150" cap="rnd">
              <a:solidFill>
                <a:srgbClr val="7030A0"/>
              </a:solidFill>
              <a:round/>
            </a:ln>
            <a:effectLst/>
          </c:spPr>
          <c:marker>
            <c:symbol val="none"/>
          </c:marker>
          <c:trendline>
            <c:spPr>
              <a:ln w="19050" cap="rnd">
                <a:solidFill>
                  <a:srgbClr val="FFC000"/>
                </a:solidFill>
                <a:prstDash val="sysDot"/>
              </a:ln>
              <a:effectLst/>
            </c:spPr>
            <c:trendlineType val="poly"/>
            <c:order val="5"/>
            <c:dispRSqr val="0"/>
            <c:dispEq val="1"/>
            <c:trendlineLbl>
              <c:layout>
                <c:manualLayout>
                  <c:x val="-7.3673884514435697E-2"/>
                  <c:y val="5.6020705745115196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trendlineLbl>
          </c:trendline>
          <c:xVal>
            <c:numRef>
              <c:f>Tools!$B$350:$B$405</c:f>
              <c:numCache>
                <c:formatCode>0</c:formatCode>
                <c:ptCount val="56"/>
                <c:pt idx="0">
                  <c:v>110</c:v>
                </c:pt>
                <c:pt idx="1">
                  <c:v>120</c:v>
                </c:pt>
                <c:pt idx="2">
                  <c:v>130</c:v>
                </c:pt>
                <c:pt idx="3">
                  <c:v>140</c:v>
                </c:pt>
                <c:pt idx="4">
                  <c:v>150</c:v>
                </c:pt>
                <c:pt idx="5">
                  <c:v>160</c:v>
                </c:pt>
                <c:pt idx="6">
                  <c:v>170</c:v>
                </c:pt>
                <c:pt idx="7">
                  <c:v>180</c:v>
                </c:pt>
                <c:pt idx="8">
                  <c:v>190</c:v>
                </c:pt>
                <c:pt idx="9">
                  <c:v>200</c:v>
                </c:pt>
                <c:pt idx="10">
                  <c:v>210</c:v>
                </c:pt>
                <c:pt idx="11">
                  <c:v>220</c:v>
                </c:pt>
                <c:pt idx="12">
                  <c:v>230</c:v>
                </c:pt>
                <c:pt idx="13">
                  <c:v>240</c:v>
                </c:pt>
                <c:pt idx="14">
                  <c:v>250</c:v>
                </c:pt>
                <c:pt idx="15">
                  <c:v>260</c:v>
                </c:pt>
                <c:pt idx="16">
                  <c:v>270</c:v>
                </c:pt>
                <c:pt idx="17">
                  <c:v>280</c:v>
                </c:pt>
                <c:pt idx="18">
                  <c:v>290</c:v>
                </c:pt>
                <c:pt idx="19">
                  <c:v>300</c:v>
                </c:pt>
                <c:pt idx="20">
                  <c:v>310</c:v>
                </c:pt>
                <c:pt idx="21">
                  <c:v>320</c:v>
                </c:pt>
                <c:pt idx="22">
                  <c:v>330</c:v>
                </c:pt>
                <c:pt idx="23">
                  <c:v>340</c:v>
                </c:pt>
                <c:pt idx="24">
                  <c:v>350</c:v>
                </c:pt>
                <c:pt idx="25">
                  <c:v>360</c:v>
                </c:pt>
                <c:pt idx="26">
                  <c:v>370</c:v>
                </c:pt>
                <c:pt idx="27">
                  <c:v>380</c:v>
                </c:pt>
                <c:pt idx="28">
                  <c:v>390</c:v>
                </c:pt>
                <c:pt idx="29">
                  <c:v>400</c:v>
                </c:pt>
                <c:pt idx="30">
                  <c:v>410</c:v>
                </c:pt>
                <c:pt idx="31">
                  <c:v>420</c:v>
                </c:pt>
                <c:pt idx="32">
                  <c:v>430</c:v>
                </c:pt>
                <c:pt idx="33">
                  <c:v>440</c:v>
                </c:pt>
                <c:pt idx="34">
                  <c:v>450</c:v>
                </c:pt>
                <c:pt idx="35">
                  <c:v>460</c:v>
                </c:pt>
                <c:pt idx="36">
                  <c:v>470</c:v>
                </c:pt>
                <c:pt idx="37">
                  <c:v>480</c:v>
                </c:pt>
                <c:pt idx="38">
                  <c:v>490</c:v>
                </c:pt>
                <c:pt idx="39">
                  <c:v>500</c:v>
                </c:pt>
                <c:pt idx="40">
                  <c:v>510</c:v>
                </c:pt>
                <c:pt idx="41">
                  <c:v>520</c:v>
                </c:pt>
                <c:pt idx="42">
                  <c:v>530</c:v>
                </c:pt>
                <c:pt idx="43">
                  <c:v>540</c:v>
                </c:pt>
                <c:pt idx="44">
                  <c:v>550</c:v>
                </c:pt>
                <c:pt idx="45">
                  <c:v>560</c:v>
                </c:pt>
                <c:pt idx="46">
                  <c:v>570</c:v>
                </c:pt>
                <c:pt idx="47">
                  <c:v>580</c:v>
                </c:pt>
                <c:pt idx="48">
                  <c:v>590</c:v>
                </c:pt>
                <c:pt idx="49">
                  <c:v>600</c:v>
                </c:pt>
                <c:pt idx="50">
                  <c:v>610</c:v>
                </c:pt>
                <c:pt idx="51">
                  <c:v>620</c:v>
                </c:pt>
                <c:pt idx="52">
                  <c:v>630</c:v>
                </c:pt>
                <c:pt idx="53">
                  <c:v>640</c:v>
                </c:pt>
                <c:pt idx="54">
                  <c:v>650</c:v>
                </c:pt>
                <c:pt idx="55">
                  <c:v>660</c:v>
                </c:pt>
              </c:numCache>
            </c:numRef>
          </c:xVal>
          <c:yVal>
            <c:numRef>
              <c:f>Tools!$E$350:$E$405</c:f>
              <c:numCache>
                <c:formatCode>0.00</c:formatCode>
                <c:ptCount val="56"/>
                <c:pt idx="0">
                  <c:v>2.475303218276545E-2</c:v>
                </c:pt>
                <c:pt idx="1">
                  <c:v>0.68830240637688433</c:v>
                </c:pt>
                <c:pt idx="2">
                  <c:v>1.2881856965194338</c:v>
                </c:pt>
                <c:pt idx="3">
                  <c:v>1.8336534675267906</c:v>
                </c:pt>
                <c:pt idx="4">
                  <c:v>2.333393226061057</c:v>
                </c:pt>
                <c:pt idx="5">
                  <c:v>2.7955089198845462</c:v>
                </c:pt>
                <c:pt idx="6">
                  <c:v>3.2275104432243471</c:v>
                </c:pt>
                <c:pt idx="7">
                  <c:v>3.6363116431347771</c:v>
                </c:pt>
                <c:pt idx="8">
                  <c:v>4.0282354271575365</c:v>
                </c:pt>
                <c:pt idx="9">
                  <c:v>4.4090246993074356</c:v>
                </c:pt>
                <c:pt idx="10">
                  <c:v>4.7838579900748144</c:v>
                </c:pt>
                <c:pt idx="11">
                  <c:v>5.1573687891734474</c:v>
                </c:pt>
                <c:pt idx="12">
                  <c:v>5.5336677313779763</c:v>
                </c:pt>
                <c:pt idx="13">
                  <c:v>5.9163669217344621</c:v>
                </c:pt>
                <c:pt idx="14">
                  <c:v>6.3086058137439753</c:v>
                </c:pt>
                <c:pt idx="15">
                  <c:v>6.7130781709316949</c:v>
                </c:pt>
                <c:pt idx="16">
                  <c:v>7.1320597474885439</c:v>
                </c:pt>
                <c:pt idx="17">
                  <c:v>7.5674364170149779</c:v>
                </c:pt>
                <c:pt idx="18">
                  <c:v>8.020732559891286</c:v>
                </c:pt>
                <c:pt idx="19">
                  <c:v>8.4931395898596254</c:v>
                </c:pt>
                <c:pt idx="20">
                  <c:v>8.9855445596657777</c:v>
                </c:pt>
                <c:pt idx="21">
                  <c:v>9.4985588348397201</c:v>
                </c:pt>
                <c:pt idx="22">
                  <c:v>10.03254686473427</c:v>
                </c:pt>
                <c:pt idx="23">
                  <c:v>10.587655111652319</c:v>
                </c:pt>
                <c:pt idx="24">
                  <c:v>11.163841223141317</c:v>
                </c:pt>
                <c:pt idx="25">
                  <c:v>11.760903550164818</c:v>
                </c:pt>
                <c:pt idx="26">
                  <c:v>12.378511125706297</c:v>
                </c:pt>
                <c:pt idx="27">
                  <c:v>13.01623422523574</c:v>
                </c:pt>
                <c:pt idx="28">
                  <c:v>13.673575633185639</c:v>
                </c:pt>
                <c:pt idx="29">
                  <c:v>14.350002738968179</c:v>
                </c:pt>
                <c:pt idx="30">
                  <c:v>15.044980582964431</c:v>
                </c:pt>
                <c:pt idx="31">
                  <c:v>15.758005968241273</c:v>
                </c:pt>
                <c:pt idx="32">
                  <c:v>16.488642748459785</c:v>
                </c:pt>
                <c:pt idx="33">
                  <c:v>17.236558397593701</c:v>
                </c:pt>
                <c:pt idx="34">
                  <c:v>18.001561963832017</c:v>
                </c:pt>
                <c:pt idx="35">
                  <c:v>18.783643509686289</c:v>
                </c:pt>
                <c:pt idx="36">
                  <c:v>19.583015144280978</c:v>
                </c:pt>
                <c:pt idx="37">
                  <c:v>20.400153763666971</c:v>
                </c:pt>
                <c:pt idx="38">
                  <c:v>21.235845632526566</c:v>
                </c:pt>
                <c:pt idx="39">
                  <c:v>22.091232967817625</c:v>
                </c:pt>
                <c:pt idx="40">
                  <c:v>22.967862723948649</c:v>
                </c:pt>
                <c:pt idx="41">
                  <c:v>23.867737832495802</c:v>
                </c:pt>
                <c:pt idx="42">
                  <c:v>24.79337122013759</c:v>
                </c:pt>
                <c:pt idx="43">
                  <c:v>25.747843019689942</c:v>
                </c:pt>
                <c:pt idx="44">
                  <c:v>26.734861504771985</c:v>
                </c:pt>
                <c:pt idx="45">
                  <c:v>27.758828423351162</c:v>
                </c:pt>
                <c:pt idx="46">
                  <c:v>28.824909584831925</c:v>
                </c:pt>
                <c:pt idx="47">
                  <c:v>29.939111776433077</c:v>
                </c:pt>
                <c:pt idx="48">
                  <c:v>31.108367356078446</c:v>
                </c:pt>
                <c:pt idx="49">
                  <c:v>32.340628202025201</c:v>
                </c:pt>
                <c:pt idx="50">
                  <c:v>33.644971108332747</c:v>
                </c:pt>
                <c:pt idx="51">
                  <c:v>35.031717218701232</c:v>
                </c:pt>
                <c:pt idx="52">
                  <c:v>36.512568713733955</c:v>
                </c:pt>
                <c:pt idx="53">
                  <c:v>38.100766740807671</c:v>
                </c:pt>
                <c:pt idx="54">
                  <c:v>39.811275544782994</c:v>
                </c:pt>
                <c:pt idx="55">
                  <c:v>41.660998979937247</c:v>
                </c:pt>
              </c:numCache>
            </c:numRef>
          </c:yVal>
          <c:smooth val="1"/>
          <c:extLst>
            <c:ext xmlns:c16="http://schemas.microsoft.com/office/drawing/2014/chart" uri="{C3380CC4-5D6E-409C-BE32-E72D297353CC}">
              <c16:uniqueId val="{00000001-DBD8-47C5-9EB7-320F3E18263F}"/>
            </c:ext>
          </c:extLst>
        </c:ser>
        <c:ser>
          <c:idx val="2"/>
          <c:order val="2"/>
          <c:tx>
            <c:v>CALC</c:v>
          </c:tx>
          <c:spPr>
            <a:ln w="28575" cap="rnd">
              <a:solidFill>
                <a:srgbClr val="FF0000"/>
              </a:solidFill>
              <a:round/>
            </a:ln>
            <a:effectLst/>
          </c:spPr>
          <c:marker>
            <c:symbol val="none"/>
          </c:marker>
          <c:xVal>
            <c:numRef>
              <c:f>Tools!$B$350:$B$405</c:f>
              <c:numCache>
                <c:formatCode>0</c:formatCode>
                <c:ptCount val="56"/>
                <c:pt idx="0">
                  <c:v>110</c:v>
                </c:pt>
                <c:pt idx="1">
                  <c:v>120</c:v>
                </c:pt>
                <c:pt idx="2">
                  <c:v>130</c:v>
                </c:pt>
                <c:pt idx="3">
                  <c:v>140</c:v>
                </c:pt>
                <c:pt idx="4">
                  <c:v>150</c:v>
                </c:pt>
                <c:pt idx="5">
                  <c:v>160</c:v>
                </c:pt>
                <c:pt idx="6">
                  <c:v>170</c:v>
                </c:pt>
                <c:pt idx="7">
                  <c:v>180</c:v>
                </c:pt>
                <c:pt idx="8">
                  <c:v>190</c:v>
                </c:pt>
                <c:pt idx="9">
                  <c:v>200</c:v>
                </c:pt>
                <c:pt idx="10">
                  <c:v>210</c:v>
                </c:pt>
                <c:pt idx="11">
                  <c:v>220</c:v>
                </c:pt>
                <c:pt idx="12">
                  <c:v>230</c:v>
                </c:pt>
                <c:pt idx="13">
                  <c:v>240</c:v>
                </c:pt>
                <c:pt idx="14">
                  <c:v>250</c:v>
                </c:pt>
                <c:pt idx="15">
                  <c:v>260</c:v>
                </c:pt>
                <c:pt idx="16">
                  <c:v>270</c:v>
                </c:pt>
                <c:pt idx="17">
                  <c:v>280</c:v>
                </c:pt>
                <c:pt idx="18">
                  <c:v>290</c:v>
                </c:pt>
                <c:pt idx="19">
                  <c:v>300</c:v>
                </c:pt>
                <c:pt idx="20">
                  <c:v>310</c:v>
                </c:pt>
                <c:pt idx="21">
                  <c:v>320</c:v>
                </c:pt>
                <c:pt idx="22">
                  <c:v>330</c:v>
                </c:pt>
                <c:pt idx="23">
                  <c:v>340</c:v>
                </c:pt>
                <c:pt idx="24">
                  <c:v>350</c:v>
                </c:pt>
                <c:pt idx="25">
                  <c:v>360</c:v>
                </c:pt>
                <c:pt idx="26">
                  <c:v>370</c:v>
                </c:pt>
                <c:pt idx="27">
                  <c:v>380</c:v>
                </c:pt>
                <c:pt idx="28">
                  <c:v>390</c:v>
                </c:pt>
                <c:pt idx="29">
                  <c:v>400</c:v>
                </c:pt>
                <c:pt idx="30">
                  <c:v>410</c:v>
                </c:pt>
                <c:pt idx="31">
                  <c:v>420</c:v>
                </c:pt>
                <c:pt idx="32">
                  <c:v>430</c:v>
                </c:pt>
                <c:pt idx="33">
                  <c:v>440</c:v>
                </c:pt>
                <c:pt idx="34">
                  <c:v>450</c:v>
                </c:pt>
                <c:pt idx="35">
                  <c:v>460</c:v>
                </c:pt>
                <c:pt idx="36">
                  <c:v>470</c:v>
                </c:pt>
                <c:pt idx="37">
                  <c:v>480</c:v>
                </c:pt>
                <c:pt idx="38">
                  <c:v>490</c:v>
                </c:pt>
                <c:pt idx="39">
                  <c:v>500</c:v>
                </c:pt>
                <c:pt idx="40">
                  <c:v>510</c:v>
                </c:pt>
                <c:pt idx="41">
                  <c:v>520</c:v>
                </c:pt>
                <c:pt idx="42">
                  <c:v>530</c:v>
                </c:pt>
                <c:pt idx="43">
                  <c:v>540</c:v>
                </c:pt>
                <c:pt idx="44">
                  <c:v>550</c:v>
                </c:pt>
                <c:pt idx="45">
                  <c:v>560</c:v>
                </c:pt>
                <c:pt idx="46">
                  <c:v>570</c:v>
                </c:pt>
                <c:pt idx="47">
                  <c:v>580</c:v>
                </c:pt>
                <c:pt idx="48">
                  <c:v>590</c:v>
                </c:pt>
                <c:pt idx="49">
                  <c:v>600</c:v>
                </c:pt>
                <c:pt idx="50">
                  <c:v>610</c:v>
                </c:pt>
                <c:pt idx="51">
                  <c:v>620</c:v>
                </c:pt>
                <c:pt idx="52">
                  <c:v>630</c:v>
                </c:pt>
                <c:pt idx="53">
                  <c:v>640</c:v>
                </c:pt>
                <c:pt idx="54">
                  <c:v>650</c:v>
                </c:pt>
                <c:pt idx="55">
                  <c:v>660</c:v>
                </c:pt>
              </c:numCache>
            </c:numRef>
          </c:xVal>
          <c:yVal>
            <c:numRef>
              <c:f>Tools!$L$350:$L$405</c:f>
              <c:numCache>
                <c:formatCode>General</c:formatCode>
                <c:ptCount val="56"/>
                <c:pt idx="0">
                  <c:v>-0.43838236076507542</c:v>
                </c:pt>
                <c:pt idx="1">
                  <c:v>0.48353207632656847</c:v>
                </c:pt>
                <c:pt idx="2">
                  <c:v>1.2736836248382701</c:v>
                </c:pt>
                <c:pt idx="3">
                  <c:v>1.9519727970710328</c:v>
                </c:pt>
                <c:pt idx="4">
                  <c:v>2.5366753249425464</c:v>
                </c:pt>
                <c:pt idx="5">
                  <c:v>3.0445050582842619</c:v>
                </c:pt>
                <c:pt idx="6">
                  <c:v>3.4906768631386385</c:v>
                </c:pt>
                <c:pt idx="7">
                  <c:v>3.8889695200562215</c:v>
                </c:pt>
                <c:pt idx="8">
                  <c:v>4.2517886223928922</c:v>
                </c:pt>
                <c:pt idx="9">
                  <c:v>4.5902294746069998</c:v>
                </c:pt>
                <c:pt idx="10">
                  <c:v>4.9141399905565493</c:v>
                </c:pt>
                <c:pt idx="11">
                  <c:v>5.2321835917963497</c:v>
                </c:pt>
                <c:pt idx="12">
                  <c:v>5.5519021058752207</c:v>
                </c:pt>
                <c:pt idx="13">
                  <c:v>5.8797786646331156</c:v>
                </c:pt>
                <c:pt idx="14">
                  <c:v>6.2213006024983342</c:v>
                </c:pt>
                <c:pt idx="15">
                  <c:v>6.5810223547846638</c:v>
                </c:pt>
                <c:pt idx="16">
                  <c:v>6.9626283559885724</c:v>
                </c:pt>
                <c:pt idx="17">
                  <c:v>7.3689959380863588</c:v>
                </c:pt>
                <c:pt idx="18">
                  <c:v>7.8022582288313362</c:v>
                </c:pt>
                <c:pt idx="19">
                  <c:v>8.2638670500509992</c:v>
                </c:pt>
                <c:pt idx="20">
                  <c:v>8.7546558159441954</c:v>
                </c:pt>
                <c:pt idx="21">
                  <c:v>9.2749024313782886</c:v>
                </c:pt>
                <c:pt idx="22">
                  <c:v>9.8243921901863303</c:v>
                </c:pt>
                <c:pt idx="23">
                  <c:v>10.402480673464252</c:v>
                </c:pt>
                <c:pt idx="24">
                  <c:v>11.008156647867999</c:v>
                </c:pt>
                <c:pt idx="25">
                  <c:v>11.640104963910726</c:v>
                </c:pt>
                <c:pt idx="26">
                  <c:v>12.296769454259966</c:v>
                </c:pt>
                <c:pt idx="27">
                  <c:v>12.976415832034785</c:v>
                </c:pt>
                <c:pt idx="28">
                  <c:v>13.677194589102974</c:v>
                </c:pt>
                <c:pt idx="29">
                  <c:v>14.397203894378197</c:v>
                </c:pt>
                <c:pt idx="30">
                  <c:v>15.134552492117185</c:v>
                </c:pt>
                <c:pt idx="31">
                  <c:v>15.887422600216883</c:v>
                </c:pt>
                <c:pt idx="32">
                  <c:v>16.654132808511637</c:v>
                </c:pt>
                <c:pt idx="33">
                  <c:v>17.433200977070356</c:v>
                </c:pt>
                <c:pt idx="34">
                  <c:v>18.223407134493677</c:v>
                </c:pt>
                <c:pt idx="35">
                  <c:v>19.023856376211171</c:v>
                </c:pt>
                <c:pt idx="36">
                  <c:v>19.834041762778448</c:v>
                </c:pt>
                <c:pt idx="37">
                  <c:v>20.6539072181744</c:v>
                </c:pt>
                <c:pt idx="38">
                  <c:v>21.483910428098305</c:v>
                </c:pt>
                <c:pt idx="39">
                  <c:v>22.325085738267056</c:v>
                </c:pt>
                <c:pt idx="40">
                  <c:v>23.179107052712283</c:v>
                </c:pt>
                <c:pt idx="41">
                  <c:v>24.048350732077555</c:v>
                </c:pt>
                <c:pt idx="42">
                  <c:v>24.935958491915542</c:v>
                </c:pt>
                <c:pt idx="43">
                  <c:v>25.845900300985171</c:v>
                </c:pt>
                <c:pt idx="44">
                  <c:v>26.783037279548815</c:v>
                </c:pt>
                <c:pt idx="45">
                  <c:v>27.75318459766946</c:v>
                </c:pt>
                <c:pt idx="46">
                  <c:v>28.763174373507876</c:v>
                </c:pt>
                <c:pt idx="47">
                  <c:v>29.820918571619774</c:v>
                </c:pt>
                <c:pt idx="48">
                  <c:v>30.935471901252988</c:v>
                </c:pt>
                <c:pt idx="49">
                  <c:v>32.117094714644637</c:v>
                </c:pt>
                <c:pt idx="50">
                  <c:v>33.377315905318319</c:v>
                </c:pt>
                <c:pt idx="51">
                  <c:v>34.728995806381249</c:v>
                </c:pt>
                <c:pt idx="52">
                  <c:v>36.186389088821443</c:v>
                </c:pt>
                <c:pt idx="53">
                  <c:v>37.765207659804901</c:v>
                </c:pt>
                <c:pt idx="54">
                  <c:v>39.48268356097276</c:v>
                </c:pt>
                <c:pt idx="55">
                  <c:v>41.357631866738458</c:v>
                </c:pt>
              </c:numCache>
            </c:numRef>
          </c:yVal>
          <c:smooth val="1"/>
          <c:extLst>
            <c:ext xmlns:c16="http://schemas.microsoft.com/office/drawing/2014/chart" uri="{C3380CC4-5D6E-409C-BE32-E72D297353CC}">
              <c16:uniqueId val="{00000003-DBD8-47C5-9EB7-320F3E18263F}"/>
            </c:ext>
          </c:extLst>
        </c:ser>
        <c:dLbls>
          <c:showLegendKey val="0"/>
          <c:showVal val="0"/>
          <c:showCatName val="0"/>
          <c:showSerName val="0"/>
          <c:showPercent val="0"/>
          <c:showBubbleSize val="0"/>
        </c:dLbls>
        <c:axId val="1180715584"/>
        <c:axId val="965828623"/>
        <c:extLst>
          <c:ext xmlns:c15="http://schemas.microsoft.com/office/drawing/2012/chart" uri="{02D57815-91ED-43cb-92C2-25804820EDAC}">
            <c15:filteredScatterSeries>
              <c15:ser>
                <c:idx val="0"/>
                <c:order val="0"/>
                <c:tx>
                  <c:v>IN</c:v>
                </c:tx>
                <c:spPr>
                  <a:ln w="19050" cap="rnd">
                    <a:solidFill>
                      <a:schemeClr val="accent1"/>
                    </a:solidFill>
                    <a:round/>
                  </a:ln>
                  <a:effectLst/>
                </c:spPr>
                <c:marker>
                  <c:symbol val="none"/>
                </c:marker>
                <c:xVal>
                  <c:numRef>
                    <c:extLst>
                      <c:ext uri="{02D57815-91ED-43cb-92C2-25804820EDAC}">
                        <c15:formulaRef>
                          <c15:sqref>Tools!$B$350:$B$419</c15:sqref>
                        </c15:formulaRef>
                      </c:ext>
                    </c:extLst>
                    <c:numCache>
                      <c:formatCode>0</c:formatCode>
                      <c:ptCount val="70"/>
                      <c:pt idx="0">
                        <c:v>110</c:v>
                      </c:pt>
                      <c:pt idx="1">
                        <c:v>120</c:v>
                      </c:pt>
                      <c:pt idx="2">
                        <c:v>130</c:v>
                      </c:pt>
                      <c:pt idx="3">
                        <c:v>140</c:v>
                      </c:pt>
                      <c:pt idx="4">
                        <c:v>150</c:v>
                      </c:pt>
                      <c:pt idx="5">
                        <c:v>160</c:v>
                      </c:pt>
                      <c:pt idx="6">
                        <c:v>170</c:v>
                      </c:pt>
                      <c:pt idx="7">
                        <c:v>180</c:v>
                      </c:pt>
                      <c:pt idx="8">
                        <c:v>190</c:v>
                      </c:pt>
                      <c:pt idx="9">
                        <c:v>200</c:v>
                      </c:pt>
                      <c:pt idx="10">
                        <c:v>210</c:v>
                      </c:pt>
                      <c:pt idx="11">
                        <c:v>220</c:v>
                      </c:pt>
                      <c:pt idx="12">
                        <c:v>230</c:v>
                      </c:pt>
                      <c:pt idx="13">
                        <c:v>240</c:v>
                      </c:pt>
                      <c:pt idx="14">
                        <c:v>250</c:v>
                      </c:pt>
                      <c:pt idx="15">
                        <c:v>260</c:v>
                      </c:pt>
                      <c:pt idx="16">
                        <c:v>270</c:v>
                      </c:pt>
                      <c:pt idx="17">
                        <c:v>280</c:v>
                      </c:pt>
                      <c:pt idx="18">
                        <c:v>290</c:v>
                      </c:pt>
                      <c:pt idx="19">
                        <c:v>300</c:v>
                      </c:pt>
                      <c:pt idx="20">
                        <c:v>310</c:v>
                      </c:pt>
                      <c:pt idx="21">
                        <c:v>320</c:v>
                      </c:pt>
                      <c:pt idx="22">
                        <c:v>330</c:v>
                      </c:pt>
                      <c:pt idx="23">
                        <c:v>340</c:v>
                      </c:pt>
                      <c:pt idx="24">
                        <c:v>350</c:v>
                      </c:pt>
                      <c:pt idx="25">
                        <c:v>360</c:v>
                      </c:pt>
                      <c:pt idx="26">
                        <c:v>370</c:v>
                      </c:pt>
                      <c:pt idx="27">
                        <c:v>380</c:v>
                      </c:pt>
                      <c:pt idx="28">
                        <c:v>390</c:v>
                      </c:pt>
                      <c:pt idx="29">
                        <c:v>400</c:v>
                      </c:pt>
                      <c:pt idx="30">
                        <c:v>410</c:v>
                      </c:pt>
                      <c:pt idx="31">
                        <c:v>420</c:v>
                      </c:pt>
                      <c:pt idx="32">
                        <c:v>430</c:v>
                      </c:pt>
                      <c:pt idx="33">
                        <c:v>440</c:v>
                      </c:pt>
                      <c:pt idx="34">
                        <c:v>450</c:v>
                      </c:pt>
                      <c:pt idx="35">
                        <c:v>460</c:v>
                      </c:pt>
                      <c:pt idx="36">
                        <c:v>470</c:v>
                      </c:pt>
                      <c:pt idx="37">
                        <c:v>480</c:v>
                      </c:pt>
                      <c:pt idx="38">
                        <c:v>490</c:v>
                      </c:pt>
                      <c:pt idx="39">
                        <c:v>500</c:v>
                      </c:pt>
                      <c:pt idx="40">
                        <c:v>510</c:v>
                      </c:pt>
                      <c:pt idx="41">
                        <c:v>520</c:v>
                      </c:pt>
                      <c:pt idx="42">
                        <c:v>530</c:v>
                      </c:pt>
                      <c:pt idx="43">
                        <c:v>540</c:v>
                      </c:pt>
                      <c:pt idx="44">
                        <c:v>550</c:v>
                      </c:pt>
                      <c:pt idx="45">
                        <c:v>560</c:v>
                      </c:pt>
                      <c:pt idx="46">
                        <c:v>570</c:v>
                      </c:pt>
                      <c:pt idx="47">
                        <c:v>580</c:v>
                      </c:pt>
                      <c:pt idx="48">
                        <c:v>590</c:v>
                      </c:pt>
                      <c:pt idx="49">
                        <c:v>600</c:v>
                      </c:pt>
                      <c:pt idx="50">
                        <c:v>610</c:v>
                      </c:pt>
                      <c:pt idx="51">
                        <c:v>620</c:v>
                      </c:pt>
                      <c:pt idx="52">
                        <c:v>630</c:v>
                      </c:pt>
                      <c:pt idx="53">
                        <c:v>640</c:v>
                      </c:pt>
                      <c:pt idx="54">
                        <c:v>650</c:v>
                      </c:pt>
                      <c:pt idx="55">
                        <c:v>660</c:v>
                      </c:pt>
                      <c:pt idx="56">
                        <c:v>670</c:v>
                      </c:pt>
                      <c:pt idx="57">
                        <c:v>680</c:v>
                      </c:pt>
                      <c:pt idx="58">
                        <c:v>690</c:v>
                      </c:pt>
                      <c:pt idx="59">
                        <c:v>700</c:v>
                      </c:pt>
                      <c:pt idx="60">
                        <c:v>710</c:v>
                      </c:pt>
                      <c:pt idx="61">
                        <c:v>720</c:v>
                      </c:pt>
                      <c:pt idx="62">
                        <c:v>730</c:v>
                      </c:pt>
                      <c:pt idx="63">
                        <c:v>740</c:v>
                      </c:pt>
                      <c:pt idx="64">
                        <c:v>750</c:v>
                      </c:pt>
                      <c:pt idx="65">
                        <c:v>760</c:v>
                      </c:pt>
                      <c:pt idx="66">
                        <c:v>770</c:v>
                      </c:pt>
                      <c:pt idx="67">
                        <c:v>780</c:v>
                      </c:pt>
                      <c:pt idx="68">
                        <c:v>790</c:v>
                      </c:pt>
                      <c:pt idx="69">
                        <c:v>800</c:v>
                      </c:pt>
                    </c:numCache>
                  </c:numRef>
                </c:xVal>
                <c:yVal>
                  <c:numRef>
                    <c:extLst>
                      <c:ext uri="{02D57815-91ED-43cb-92C2-25804820EDAC}">
                        <c15:formulaRef>
                          <c15:sqref>Tools!$D$350:$D$419</c15:sqref>
                        </c15:formulaRef>
                      </c:ext>
                    </c:extLst>
                    <c:numCache>
                      <c:formatCode>0.00</c:formatCode>
                      <c:ptCount val="70"/>
                      <c:pt idx="0">
                        <c:v>3.4650814204994926E-2</c:v>
                      </c:pt>
                      <c:pt idx="1">
                        <c:v>0.96097759615999312</c:v>
                      </c:pt>
                      <c:pt idx="2">
                        <c:v>1.7942148475150006</c:v>
                      </c:pt>
                      <c:pt idx="3">
                        <c:v>2.5484231547199951</c:v>
                      </c:pt>
                      <c:pt idx="4">
                        <c:v>3.2365420156249938</c:v>
                      </c:pt>
                      <c:pt idx="5">
                        <c:v>3.87043316607999</c:v>
                      </c:pt>
                      <c:pt idx="6">
                        <c:v>4.4609239065350019</c:v>
                      </c:pt>
                      <c:pt idx="7">
                        <c:v>5.0178504286399974</c:v>
                      </c:pt>
                      <c:pt idx="8">
                        <c:v>5.5501011418450004</c:v>
                      </c:pt>
                      <c:pt idx="9">
                        <c:v>6.0656600000000047</c:v>
                      </c:pt>
                      <c:pt idx="10">
                        <c:v>6.5716498279549933</c:v>
                      </c:pt>
                      <c:pt idx="11">
                        <c:v>7.0743756481599895</c:v>
                      </c:pt>
                      <c:pt idx="12">
                        <c:v>7.5793680072650034</c:v>
                      </c:pt>
                      <c:pt idx="13">
                        <c:v>8.091426302719988</c:v>
                      </c:pt>
                      <c:pt idx="14">
                        <c:v>8.6146621093749935</c:v>
                      </c:pt>
                      <c:pt idx="15">
                        <c:v>9.1525425060800121</c:v>
                      </c:pt>
                      <c:pt idx="16">
                        <c:v>9.7079334022850148</c:v>
                      </c:pt>
                      <c:pt idx="17">
                        <c:v>10.283142864639991</c:v>
                      </c:pt>
                      <c:pt idx="18">
                        <c:v>10.879964443594993</c:v>
                      </c:pt>
                      <c:pt idx="19">
                        <c:v>11.499720499999993</c:v>
                      </c:pt>
                      <c:pt idx="20">
                        <c:v>12.143305531705003</c:v>
                      </c:pt>
                      <c:pt idx="21">
                        <c:v>12.811229500159994</c:v>
                      </c:pt>
                      <c:pt idx="22">
                        <c:v>13.503661157014999</c:v>
                      </c:pt>
                      <c:pt idx="23">
                        <c:v>14.220471370720009</c:v>
                      </c:pt>
                      <c:pt idx="24">
                        <c:v>14.961276453124999</c:v>
                      </c:pt>
                      <c:pt idx="25">
                        <c:v>15.725481486079985</c:v>
                      </c:pt>
                      <c:pt idx="26">
                        <c:v>16.512323648034961</c:v>
                      </c:pt>
                      <c:pt idx="27">
                        <c:v>17.320915540640051</c:v>
                      </c:pt>
                      <c:pt idx="28">
                        <c:v>18.150288515345046</c:v>
                      </c:pt>
                      <c:pt idx="29">
                        <c:v>18.999436000000046</c:v>
                      </c:pt>
                      <c:pt idx="30">
                        <c:v>19.867356825455012</c:v>
                      </c:pt>
                      <c:pt idx="31">
                        <c:v>20.753098552160033</c:v>
                      </c:pt>
                      <c:pt idx="32">
                        <c:v>21.655800796765021</c:v>
                      </c:pt>
                      <c:pt idx="33">
                        <c:v>22.574738558720028</c:v>
                      </c:pt>
                      <c:pt idx="34">
                        <c:v>23.509365546875031</c:v>
                      </c:pt>
                      <c:pt idx="35">
                        <c:v>24.459357506080096</c:v>
                      </c:pt>
                      <c:pt idx="36">
                        <c:v>25.424655543785093</c:v>
                      </c:pt>
                      <c:pt idx="37">
                        <c:v>26.405509456640075</c:v>
                      </c:pt>
                      <c:pt idx="38">
                        <c:v>27.402521057095072</c:v>
                      </c:pt>
                      <c:pt idx="39">
                        <c:v>28.416687499999995</c:v>
                      </c:pt>
                      <c:pt idx="40">
                        <c:v>29.449444609205102</c:v>
                      </c:pt>
                      <c:pt idx="41">
                        <c:v>30.502710204160167</c:v>
                      </c:pt>
                      <c:pt idx="42">
                        <c:v>31.578927426515122</c:v>
                      </c:pt>
                      <c:pt idx="43">
                        <c:v>32.681108066720185</c:v>
                      </c:pt>
                      <c:pt idx="44">
                        <c:v>33.812875890625151</c:v>
                      </c:pt>
                      <c:pt idx="45">
                        <c:v>34.978509966080054</c:v>
                      </c:pt>
                      <c:pt idx="46">
                        <c:v>36.182987989535064</c:v>
                      </c:pt>
                      <c:pt idx="47">
                        <c:v>37.43202961263998</c:v>
                      </c:pt>
                      <c:pt idx="48">
                        <c:v>38.732139768845002</c:v>
                      </c:pt>
                      <c:pt idx="49">
                        <c:v>40.090652000000148</c:v>
                      </c:pt>
                      <c:pt idx="50">
                        <c:v>41.515771782955198</c:v>
                      </c:pt>
                      <c:pt idx="51">
                        <c:v>43.016619856160219</c:v>
                      </c:pt>
                      <c:pt idx="52">
                        <c:v>44.603275546265081</c:v>
                      </c:pt>
                      <c:pt idx="53">
                        <c:v>46.286820094720099</c:v>
                      </c:pt>
                      <c:pt idx="54">
                        <c:v>48.079379984375066</c:v>
                      </c:pt>
                      <c:pt idx="55">
                        <c:v>49.994170266080232</c:v>
                      </c:pt>
                      <c:pt idx="56">
                        <c:v>52.045537885284944</c:v>
                      </c:pt>
                      <c:pt idx="57">
                        <c:v>54.249005008640211</c:v>
                      </c:pt>
                      <c:pt idx="58">
                        <c:v>56.621312350595076</c:v>
                      </c:pt>
                      <c:pt idx="59">
                        <c:v>59.18046250000009</c:v>
                      </c:pt>
                      <c:pt idx="60">
                        <c:v>61.945763246705269</c:v>
                      </c:pt>
                      <c:pt idx="61">
                        <c:v>64.937870908159994</c:v>
                      </c:pt>
                      <c:pt idx="62">
                        <c:v>68.178833656015058</c:v>
                      </c:pt>
                      <c:pt idx="63">
                        <c:v>71.692134842719838</c:v>
                      </c:pt>
                      <c:pt idx="64">
                        <c:v>75.502736328125252</c:v>
                      </c:pt>
                      <c:pt idx="65">
                        <c:v>79.637121806080586</c:v>
                      </c:pt>
                      <c:pt idx="66">
                        <c:v>84.123340131035206</c:v>
                      </c:pt>
                      <c:pt idx="67">
                        <c:v>88.991048644640387</c:v>
                      </c:pt>
                      <c:pt idx="68">
                        <c:v>94.27155650234522</c:v>
                      </c:pt>
                      <c:pt idx="69">
                        <c:v>99.997868000000608</c:v>
                      </c:pt>
                    </c:numCache>
                  </c:numRef>
                </c:yVal>
                <c:smooth val="1"/>
                <c:extLst>
                  <c:ext xmlns:c16="http://schemas.microsoft.com/office/drawing/2014/chart" uri="{C3380CC4-5D6E-409C-BE32-E72D297353CC}">
                    <c16:uniqueId val="{00000000-DBD8-47C5-9EB7-320F3E18263F}"/>
                  </c:ext>
                </c:extLst>
              </c15:ser>
            </c15:filteredScatterSeries>
          </c:ext>
        </c:extLst>
      </c:scatterChart>
      <c:valAx>
        <c:axId val="118071558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65828623"/>
        <c:crosses val="autoZero"/>
        <c:crossBetween val="midCat"/>
      </c:valAx>
      <c:valAx>
        <c:axId val="9658286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8071558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Soil Density Correction'!A1"/><Relationship Id="rId13" Type="http://schemas.openxmlformats.org/officeDocument/2006/relationships/image" Target="../media/image9.svg"/><Relationship Id="rId3" Type="http://schemas.openxmlformats.org/officeDocument/2006/relationships/image" Target="../media/image2.png"/><Relationship Id="rId7" Type="http://schemas.openxmlformats.org/officeDocument/2006/relationships/image" Target="../media/image5.svg"/><Relationship Id="rId12" Type="http://schemas.openxmlformats.org/officeDocument/2006/relationships/image" Target="../media/image8.png"/><Relationship Id="rId2" Type="http://schemas.openxmlformats.org/officeDocument/2006/relationships/hyperlink" Target="#Calibration!A1"/><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hyperlink" Target="#'Transform Material Calibration'!A1"/><Relationship Id="rId5" Type="http://schemas.openxmlformats.org/officeDocument/2006/relationships/hyperlink" Target="#Conversion!A1"/><Relationship Id="rId10" Type="http://schemas.openxmlformats.org/officeDocument/2006/relationships/image" Target="../media/image7.svg"/><Relationship Id="rId4" Type="http://schemas.openxmlformats.org/officeDocument/2006/relationships/image" Target="../media/image3.svg"/><Relationship Id="rId9" Type="http://schemas.openxmlformats.org/officeDocument/2006/relationships/image" Target="../media/image6.png"/></Relationships>
</file>

<file path=xl/drawings/_rels/drawing2.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Content!A1"/><Relationship Id="rId6" Type="http://schemas.openxmlformats.org/officeDocument/2006/relationships/image" Target="../media/image1.png"/><Relationship Id="rId5" Type="http://schemas.openxmlformats.org/officeDocument/2006/relationships/image" Target="../media/image13.png"/><Relationship Id="rId4" Type="http://schemas.openxmlformats.org/officeDocument/2006/relationships/image" Target="../media/image1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Content!A1"/><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image" Target="../media/image11.svg"/></Relationships>
</file>

<file path=xl/drawings/_rels/drawing4.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Content!A1"/><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Content!A1"/><Relationship Id="rId5" Type="http://schemas.openxmlformats.org/officeDocument/2006/relationships/image" Target="../media/image1.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5.xml"/><Relationship Id="rId5" Type="http://schemas.openxmlformats.org/officeDocument/2006/relationships/image" Target="../media/image15.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xdr:col>
      <xdr:colOff>6420975</xdr:colOff>
      <xdr:row>0</xdr:row>
      <xdr:rowOff>128877</xdr:rowOff>
    </xdr:from>
    <xdr:to>
      <xdr:col>2</xdr:col>
      <xdr:colOff>7363081</xdr:colOff>
      <xdr:row>2</xdr:row>
      <xdr:rowOff>138057</xdr:rowOff>
    </xdr:to>
    <xdr:pic>
      <xdr:nvPicPr>
        <xdr:cNvPr id="3" name="Grafik 2">
          <a:extLst>
            <a:ext uri="{FF2B5EF4-FFF2-40B4-BE49-F238E27FC236}">
              <a16:creationId xmlns:a16="http://schemas.microsoft.com/office/drawing/2014/main" id="{8DC7A012-8D61-4F40-A9DF-1460C972896D}"/>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492663" y="128877"/>
          <a:ext cx="942106" cy="469555"/>
        </a:xfrm>
        <a:prstGeom prst="rect">
          <a:avLst/>
        </a:prstGeom>
      </xdr:spPr>
    </xdr:pic>
    <xdr:clientData/>
  </xdr:twoCellAnchor>
  <xdr:twoCellAnchor editAs="oneCell">
    <xdr:from>
      <xdr:col>0</xdr:col>
      <xdr:colOff>57602</xdr:colOff>
      <xdr:row>7</xdr:row>
      <xdr:rowOff>87332</xdr:rowOff>
    </xdr:from>
    <xdr:to>
      <xdr:col>0</xdr:col>
      <xdr:colOff>538627</xdr:colOff>
      <xdr:row>9</xdr:row>
      <xdr:rowOff>24557</xdr:rowOff>
    </xdr:to>
    <xdr:pic>
      <xdr:nvPicPr>
        <xdr:cNvPr id="20" name="Grafik 19" descr="Einstellungen mit einfarbiger Füllung">
          <a:hlinkClick xmlns:r="http://schemas.openxmlformats.org/officeDocument/2006/relationships" r:id="rId2"/>
          <a:extLst>
            <a:ext uri="{FF2B5EF4-FFF2-40B4-BE49-F238E27FC236}">
              <a16:creationId xmlns:a16="http://schemas.microsoft.com/office/drawing/2014/main" id="{B6DFA412-1B61-A604-EE09-670C02A116C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7602" y="2004238"/>
          <a:ext cx="481025" cy="467053"/>
        </a:xfrm>
        <a:prstGeom prst="rect">
          <a:avLst/>
        </a:prstGeom>
      </xdr:spPr>
    </xdr:pic>
    <xdr:clientData/>
  </xdr:twoCellAnchor>
  <xdr:twoCellAnchor editAs="oneCell">
    <xdr:from>
      <xdr:col>0</xdr:col>
      <xdr:colOff>64114</xdr:colOff>
      <xdr:row>4</xdr:row>
      <xdr:rowOff>68298</xdr:rowOff>
    </xdr:from>
    <xdr:to>
      <xdr:col>0</xdr:col>
      <xdr:colOff>532114</xdr:colOff>
      <xdr:row>6</xdr:row>
      <xdr:rowOff>26344</xdr:rowOff>
    </xdr:to>
    <xdr:pic>
      <xdr:nvPicPr>
        <xdr:cNvPr id="22" name="Grafik 21" descr="Übertragen mit einfarbiger Füllung">
          <a:hlinkClick xmlns:r="http://schemas.openxmlformats.org/officeDocument/2006/relationships" r:id="rId5"/>
          <a:extLst>
            <a:ext uri="{FF2B5EF4-FFF2-40B4-BE49-F238E27FC236}">
              <a16:creationId xmlns:a16="http://schemas.microsoft.com/office/drawing/2014/main" id="{54EB2E9A-633D-04D0-CF98-C87450A047D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4114" y="937454"/>
          <a:ext cx="468000" cy="464062"/>
        </a:xfrm>
        <a:prstGeom prst="rect">
          <a:avLst/>
        </a:prstGeom>
      </xdr:spPr>
    </xdr:pic>
    <xdr:clientData/>
  </xdr:twoCellAnchor>
  <xdr:twoCellAnchor editAs="oneCell">
    <xdr:from>
      <xdr:col>0</xdr:col>
      <xdr:colOff>100114</xdr:colOff>
      <xdr:row>13</xdr:row>
      <xdr:rowOff>11723</xdr:rowOff>
    </xdr:from>
    <xdr:to>
      <xdr:col>0</xdr:col>
      <xdr:colOff>496114</xdr:colOff>
      <xdr:row>13</xdr:row>
      <xdr:rowOff>407723</xdr:rowOff>
    </xdr:to>
    <xdr:pic>
      <xdr:nvPicPr>
        <xdr:cNvPr id="4" name="Grafik 3" descr="Pflanze mit Wurzeln mit einfarbiger Füllung">
          <a:hlinkClick xmlns:r="http://schemas.openxmlformats.org/officeDocument/2006/relationships" r:id="rId8"/>
          <a:extLst>
            <a:ext uri="{FF2B5EF4-FFF2-40B4-BE49-F238E27FC236}">
              <a16:creationId xmlns:a16="http://schemas.microsoft.com/office/drawing/2014/main" id="{DB4B7C21-74FA-2CEE-7555-2BB7AFA8B767}"/>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00114" y="3547879"/>
          <a:ext cx="396000" cy="396000"/>
        </a:xfrm>
        <a:prstGeom prst="rect">
          <a:avLst/>
        </a:prstGeom>
      </xdr:spPr>
    </xdr:pic>
    <xdr:clientData/>
  </xdr:twoCellAnchor>
  <xdr:twoCellAnchor editAs="oneCell">
    <xdr:from>
      <xdr:col>0</xdr:col>
      <xdr:colOff>100114</xdr:colOff>
      <xdr:row>16</xdr:row>
      <xdr:rowOff>9525</xdr:rowOff>
    </xdr:from>
    <xdr:to>
      <xdr:col>0</xdr:col>
      <xdr:colOff>496114</xdr:colOff>
      <xdr:row>16</xdr:row>
      <xdr:rowOff>405525</xdr:rowOff>
    </xdr:to>
    <xdr:pic>
      <xdr:nvPicPr>
        <xdr:cNvPr id="5" name="Grafik 4" descr="Volltreffer mit einfarbiger Füllung">
          <a:hlinkClick xmlns:r="http://schemas.openxmlformats.org/officeDocument/2006/relationships" r:id="rId11"/>
          <a:extLst>
            <a:ext uri="{FF2B5EF4-FFF2-40B4-BE49-F238E27FC236}">
              <a16:creationId xmlns:a16="http://schemas.microsoft.com/office/drawing/2014/main" id="{B3366CFE-7BBA-2D8F-D39E-6E8A70692E6A}"/>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100114" y="5051822"/>
          <a:ext cx="396000" cy="39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76201</xdr:colOff>
      <xdr:row>0</xdr:row>
      <xdr:rowOff>29310</xdr:rowOff>
    </xdr:from>
    <xdr:to>
      <xdr:col>0</xdr:col>
      <xdr:colOff>292201</xdr:colOff>
      <xdr:row>1</xdr:row>
      <xdr:rowOff>16710</xdr:rowOff>
    </xdr:to>
    <xdr:pic>
      <xdr:nvPicPr>
        <xdr:cNvPr id="11" name="Grafik 10" descr="Start mit einfarbiger Füllung">
          <a:hlinkClick xmlns:r="http://schemas.openxmlformats.org/officeDocument/2006/relationships" r:id="rId1"/>
          <a:extLst>
            <a:ext uri="{FF2B5EF4-FFF2-40B4-BE49-F238E27FC236}">
              <a16:creationId xmlns:a16="http://schemas.microsoft.com/office/drawing/2014/main" id="{05FFA73D-E1AE-4E9F-B86B-382F756E439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6201" y="29310"/>
          <a:ext cx="216000" cy="216000"/>
        </a:xfrm>
        <a:prstGeom prst="rect">
          <a:avLst/>
        </a:prstGeom>
      </xdr:spPr>
    </xdr:pic>
    <xdr:clientData/>
  </xdr:twoCellAnchor>
  <xdr:twoCellAnchor>
    <xdr:from>
      <xdr:col>7</xdr:col>
      <xdr:colOff>95250</xdr:colOff>
      <xdr:row>6</xdr:row>
      <xdr:rowOff>21980</xdr:rowOff>
    </xdr:from>
    <xdr:to>
      <xdr:col>7</xdr:col>
      <xdr:colOff>389384</xdr:colOff>
      <xdr:row>9</xdr:row>
      <xdr:rowOff>197827</xdr:rowOff>
    </xdr:to>
    <xdr:sp macro="" textlink="">
      <xdr:nvSpPr>
        <xdr:cNvPr id="13" name="Gleichschenkliges Dreieck 12">
          <a:extLst>
            <a:ext uri="{FF2B5EF4-FFF2-40B4-BE49-F238E27FC236}">
              <a16:creationId xmlns:a16="http://schemas.microsoft.com/office/drawing/2014/main" id="{82C6E701-B778-4A8D-9814-D8946A99135E}"/>
            </a:ext>
          </a:extLst>
        </xdr:cNvPr>
        <xdr:cNvSpPr/>
      </xdr:nvSpPr>
      <xdr:spPr>
        <a:xfrm rot="5400000">
          <a:off x="3968056" y="1248712"/>
          <a:ext cx="857251" cy="294134"/>
        </a:xfrm>
        <a:prstGeom prst="triangle">
          <a:avLst/>
        </a:prstGeom>
        <a:solidFill>
          <a:schemeClr val="bg2">
            <a:lumMod val="7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oneCellAnchor>
    <xdr:from>
      <xdr:col>1</xdr:col>
      <xdr:colOff>308458</xdr:colOff>
      <xdr:row>25</xdr:row>
      <xdr:rowOff>48848</xdr:rowOff>
    </xdr:from>
    <xdr:ext cx="605487" cy="223716"/>
    <mc:AlternateContent xmlns:mc="http://schemas.openxmlformats.org/markup-compatibility/2006">
      <mc:Choice xmlns:a14="http://schemas.microsoft.com/office/drawing/2010/main" Requires="a14">
        <xdr:sp macro="" textlink="">
          <xdr:nvSpPr>
            <xdr:cNvPr id="15" name="Textfeld 14">
              <a:extLst>
                <a:ext uri="{FF2B5EF4-FFF2-40B4-BE49-F238E27FC236}">
                  <a16:creationId xmlns:a16="http://schemas.microsoft.com/office/drawing/2014/main" id="{14F5FFA1-C065-C14E-142A-C1ADCA4542CD}"/>
                </a:ext>
              </a:extLst>
            </xdr:cNvPr>
            <xdr:cNvSpPr txBox="1"/>
          </xdr:nvSpPr>
          <xdr:spPr>
            <a:xfrm>
              <a:off x="975208" y="5470771"/>
              <a:ext cx="605487" cy="2237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700" b="0" i="1">
                            <a:solidFill>
                              <a:schemeClr val="bg2">
                                <a:lumMod val="50000"/>
                              </a:schemeClr>
                            </a:solidFill>
                            <a:latin typeface="Cambria Math" panose="02040503050406030204" pitchFamily="18" charset="0"/>
                          </a:rPr>
                        </m:ctrlPr>
                      </m:fPr>
                      <m:num>
                        <m:r>
                          <a:rPr lang="de-DE" sz="700" b="0" i="1">
                            <a:solidFill>
                              <a:schemeClr val="bg2">
                                <a:lumMod val="50000"/>
                              </a:schemeClr>
                            </a:solidFill>
                            <a:latin typeface="Cambria Math" panose="02040503050406030204" pitchFamily="18" charset="0"/>
                            <a:ea typeface="Cambria Math" panose="02040503050406030204" pitchFamily="18" charset="0"/>
                          </a:rPr>
                          <m:t>𝛽</m:t>
                        </m:r>
                        <m:r>
                          <a:rPr lang="de-DE" sz="700" b="0" i="1">
                            <a:solidFill>
                              <a:schemeClr val="bg2">
                                <a:lumMod val="50000"/>
                              </a:schemeClr>
                            </a:solidFill>
                            <a:latin typeface="Cambria Math" panose="02040503050406030204" pitchFamily="18" charset="0"/>
                          </a:rPr>
                          <m:t>𝑀</m:t>
                        </m:r>
                      </m:num>
                      <m:den>
                        <m:r>
                          <a:rPr lang="de-DE" sz="700" b="0" i="1">
                            <a:solidFill>
                              <a:schemeClr val="bg2">
                                <a:lumMod val="50000"/>
                              </a:schemeClr>
                            </a:solidFill>
                            <a:latin typeface="Cambria Math" panose="02040503050406030204" pitchFamily="18" charset="0"/>
                          </a:rPr>
                          <m:t>1+(</m:t>
                        </m:r>
                        <m:r>
                          <a:rPr lang="de-DE" sz="700" b="0" i="1">
                            <a:solidFill>
                              <a:schemeClr val="bg2">
                                <a:lumMod val="50000"/>
                              </a:schemeClr>
                            </a:solidFill>
                            <a:latin typeface="Cambria Math" panose="02040503050406030204" pitchFamily="18" charset="0"/>
                            <a:ea typeface="Cambria Math" panose="02040503050406030204" pitchFamily="18" charset="0"/>
                          </a:rPr>
                          <m:t>𝛽</m:t>
                        </m:r>
                        <m:r>
                          <a:rPr lang="de-DE" sz="700" b="0" i="1">
                            <a:solidFill>
                              <a:schemeClr val="bg2">
                                <a:lumMod val="50000"/>
                              </a:schemeClr>
                            </a:solidFill>
                            <a:latin typeface="Cambria Math" panose="02040503050406030204" pitchFamily="18" charset="0"/>
                            <a:ea typeface="Cambria Math" panose="02040503050406030204" pitchFamily="18" charset="0"/>
                          </a:rPr>
                          <m:t>−1)∙</m:t>
                        </m:r>
                        <m:r>
                          <a:rPr lang="de-DE" sz="700" b="0" i="1">
                            <a:solidFill>
                              <a:schemeClr val="bg2">
                                <a:lumMod val="50000"/>
                              </a:schemeClr>
                            </a:solidFill>
                            <a:latin typeface="Cambria Math" panose="02040503050406030204" pitchFamily="18" charset="0"/>
                            <a:ea typeface="Cambria Math" panose="02040503050406030204" pitchFamily="18" charset="0"/>
                          </a:rPr>
                          <m:t>𝑀</m:t>
                        </m:r>
                      </m:den>
                    </m:f>
                  </m:oMath>
                </m:oMathPara>
              </a14:m>
              <a:endParaRPr lang="de-DE" sz="700">
                <a:solidFill>
                  <a:schemeClr val="bg2">
                    <a:lumMod val="50000"/>
                  </a:schemeClr>
                </a:solidFill>
                <a:latin typeface="Aptos Narrow" panose="020B0004020202020204" pitchFamily="34" charset="0"/>
              </a:endParaRPr>
            </a:p>
          </xdr:txBody>
        </xdr:sp>
      </mc:Choice>
      <mc:Fallback>
        <xdr:sp macro="" textlink="">
          <xdr:nvSpPr>
            <xdr:cNvPr id="15" name="Textfeld 14">
              <a:extLst>
                <a:ext uri="{FF2B5EF4-FFF2-40B4-BE49-F238E27FC236}">
                  <a16:creationId xmlns:a16="http://schemas.microsoft.com/office/drawing/2014/main" id="{14F5FFA1-C065-C14E-142A-C1ADCA4542CD}"/>
                </a:ext>
              </a:extLst>
            </xdr:cNvPr>
            <xdr:cNvSpPr txBox="1"/>
          </xdr:nvSpPr>
          <xdr:spPr>
            <a:xfrm>
              <a:off x="975208" y="5470771"/>
              <a:ext cx="605487" cy="2237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700" b="0" i="0">
                  <a:solidFill>
                    <a:schemeClr val="bg2">
                      <a:lumMod val="50000"/>
                    </a:schemeClr>
                  </a:solidFill>
                  <a:latin typeface="Cambria Math" panose="02040503050406030204" pitchFamily="18" charset="0"/>
                  <a:ea typeface="Cambria Math" panose="02040503050406030204" pitchFamily="18" charset="0"/>
                </a:rPr>
                <a:t>𝛽</a:t>
              </a:r>
              <a:r>
                <a:rPr lang="de-DE" sz="700" b="0" i="0">
                  <a:solidFill>
                    <a:schemeClr val="bg2">
                      <a:lumMod val="50000"/>
                    </a:schemeClr>
                  </a:solidFill>
                  <a:latin typeface="Cambria Math" panose="02040503050406030204" pitchFamily="18" charset="0"/>
                </a:rPr>
                <a:t>𝑀/(1+(</a:t>
              </a:r>
              <a:r>
                <a:rPr lang="de-DE" sz="700" b="0" i="0">
                  <a:solidFill>
                    <a:schemeClr val="bg2">
                      <a:lumMod val="50000"/>
                    </a:schemeClr>
                  </a:solidFill>
                  <a:latin typeface="Cambria Math" panose="02040503050406030204" pitchFamily="18" charset="0"/>
                  <a:ea typeface="Cambria Math" panose="02040503050406030204" pitchFamily="18" charset="0"/>
                </a:rPr>
                <a:t>𝛽−1)∙𝑀)</a:t>
              </a:r>
              <a:endParaRPr lang="de-DE" sz="700">
                <a:solidFill>
                  <a:schemeClr val="bg2">
                    <a:lumMod val="50000"/>
                  </a:schemeClr>
                </a:solidFill>
                <a:latin typeface="Aptos Narrow" panose="020B0004020202020204" pitchFamily="34" charset="0"/>
              </a:endParaRPr>
            </a:p>
          </xdr:txBody>
        </xdr:sp>
      </mc:Fallback>
    </mc:AlternateContent>
    <xdr:clientData/>
  </xdr:oneCellAnchor>
  <xdr:oneCellAnchor>
    <xdr:from>
      <xdr:col>3</xdr:col>
      <xdr:colOff>461647</xdr:colOff>
      <xdr:row>23</xdr:row>
      <xdr:rowOff>67000</xdr:rowOff>
    </xdr:from>
    <xdr:ext cx="252057" cy="201017"/>
    <mc:AlternateContent xmlns:mc="http://schemas.openxmlformats.org/markup-compatibility/2006">
      <mc:Choice xmlns:a14="http://schemas.microsoft.com/office/drawing/2010/main" Requires="a14">
        <xdr:sp macro="" textlink="">
          <xdr:nvSpPr>
            <xdr:cNvPr id="16" name="Textfeld 15">
              <a:extLst>
                <a:ext uri="{FF2B5EF4-FFF2-40B4-BE49-F238E27FC236}">
                  <a16:creationId xmlns:a16="http://schemas.microsoft.com/office/drawing/2014/main" id="{BE5AAC15-787B-43D1-9950-F8DE01BBD3E2}"/>
                </a:ext>
              </a:extLst>
            </xdr:cNvPr>
            <xdr:cNvSpPr txBox="1"/>
          </xdr:nvSpPr>
          <xdr:spPr>
            <a:xfrm>
              <a:off x="2315359" y="4873462"/>
              <a:ext cx="252057" cy="2010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700" b="0" i="1">
                            <a:solidFill>
                              <a:schemeClr val="bg2">
                                <a:lumMod val="50000"/>
                              </a:schemeClr>
                            </a:solidFill>
                            <a:latin typeface="Cambria Math" panose="02040503050406030204" pitchFamily="18" charset="0"/>
                          </a:rPr>
                        </m:ctrlPr>
                      </m:fPr>
                      <m:num>
                        <m:r>
                          <a:rPr lang="de-DE" sz="700" b="0" i="1">
                            <a:solidFill>
                              <a:schemeClr val="bg2">
                                <a:lumMod val="50000"/>
                              </a:schemeClr>
                            </a:solidFill>
                            <a:latin typeface="Cambria Math" panose="02040503050406030204" pitchFamily="18" charset="0"/>
                          </a:rPr>
                          <m:t>𝑀</m:t>
                        </m:r>
                      </m:num>
                      <m:den>
                        <m:r>
                          <a:rPr lang="de-DE" sz="700" b="0" i="1">
                            <a:solidFill>
                              <a:schemeClr val="bg2">
                                <a:lumMod val="50000"/>
                              </a:schemeClr>
                            </a:solidFill>
                            <a:latin typeface="Cambria Math" panose="02040503050406030204" pitchFamily="18" charset="0"/>
                          </a:rPr>
                          <m:t>1−</m:t>
                        </m:r>
                        <m:r>
                          <a:rPr lang="de-DE" sz="700" b="0" i="1">
                            <a:solidFill>
                              <a:schemeClr val="bg2">
                                <a:lumMod val="50000"/>
                              </a:schemeClr>
                            </a:solidFill>
                            <a:latin typeface="Cambria Math" panose="02040503050406030204" pitchFamily="18" charset="0"/>
                            <a:ea typeface="Cambria Math" panose="02040503050406030204" pitchFamily="18" charset="0"/>
                          </a:rPr>
                          <m:t>𝑀</m:t>
                        </m:r>
                      </m:den>
                    </m:f>
                  </m:oMath>
                </m:oMathPara>
              </a14:m>
              <a:endParaRPr lang="de-DE" sz="700">
                <a:solidFill>
                  <a:schemeClr val="bg2">
                    <a:lumMod val="50000"/>
                  </a:schemeClr>
                </a:solidFill>
                <a:latin typeface="Aptos Narrow" panose="020B0004020202020204" pitchFamily="34" charset="0"/>
              </a:endParaRPr>
            </a:p>
          </xdr:txBody>
        </xdr:sp>
      </mc:Choice>
      <mc:Fallback>
        <xdr:sp macro="" textlink="">
          <xdr:nvSpPr>
            <xdr:cNvPr id="16" name="Textfeld 15">
              <a:extLst>
                <a:ext uri="{FF2B5EF4-FFF2-40B4-BE49-F238E27FC236}">
                  <a16:creationId xmlns:a16="http://schemas.microsoft.com/office/drawing/2014/main" id="{BE5AAC15-787B-43D1-9950-F8DE01BBD3E2}"/>
                </a:ext>
              </a:extLst>
            </xdr:cNvPr>
            <xdr:cNvSpPr txBox="1"/>
          </xdr:nvSpPr>
          <xdr:spPr>
            <a:xfrm>
              <a:off x="2315359" y="4873462"/>
              <a:ext cx="252057" cy="2010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700" b="0" i="0">
                  <a:solidFill>
                    <a:schemeClr val="bg2">
                      <a:lumMod val="50000"/>
                    </a:schemeClr>
                  </a:solidFill>
                  <a:latin typeface="Cambria Math" panose="02040503050406030204" pitchFamily="18" charset="0"/>
                </a:rPr>
                <a:t>𝑀/(1−</a:t>
              </a:r>
              <a:r>
                <a:rPr lang="de-DE" sz="700" b="0" i="0">
                  <a:solidFill>
                    <a:schemeClr val="bg2">
                      <a:lumMod val="50000"/>
                    </a:schemeClr>
                  </a:solidFill>
                  <a:latin typeface="Cambria Math" panose="02040503050406030204" pitchFamily="18" charset="0"/>
                  <a:ea typeface="Cambria Math" panose="02040503050406030204" pitchFamily="18" charset="0"/>
                </a:rPr>
                <a:t>𝑀)</a:t>
              </a:r>
              <a:endParaRPr lang="de-DE" sz="700">
                <a:solidFill>
                  <a:schemeClr val="bg2">
                    <a:lumMod val="50000"/>
                  </a:schemeClr>
                </a:solidFill>
                <a:latin typeface="Aptos Narrow" panose="020B0004020202020204" pitchFamily="34" charset="0"/>
              </a:endParaRPr>
            </a:p>
          </xdr:txBody>
        </xdr:sp>
      </mc:Fallback>
    </mc:AlternateContent>
    <xdr:clientData/>
  </xdr:oneCellAnchor>
  <xdr:oneCellAnchor>
    <xdr:from>
      <xdr:col>5</xdr:col>
      <xdr:colOff>302561</xdr:colOff>
      <xdr:row>23</xdr:row>
      <xdr:rowOff>43526</xdr:rowOff>
    </xdr:from>
    <xdr:ext cx="566502" cy="247964"/>
    <mc:AlternateContent xmlns:mc="http://schemas.openxmlformats.org/markup-compatibility/2006">
      <mc:Choice xmlns:a14="http://schemas.microsoft.com/office/drawing/2010/main" Requires="a14">
        <xdr:sp macro="" textlink="">
          <xdr:nvSpPr>
            <xdr:cNvPr id="17" name="Textfeld 16">
              <a:extLst>
                <a:ext uri="{FF2B5EF4-FFF2-40B4-BE49-F238E27FC236}">
                  <a16:creationId xmlns:a16="http://schemas.microsoft.com/office/drawing/2014/main" id="{2D67AA85-BFE5-481D-88E5-CA8CBB3D3F4F}"/>
                </a:ext>
              </a:extLst>
            </xdr:cNvPr>
            <xdr:cNvSpPr txBox="1"/>
          </xdr:nvSpPr>
          <xdr:spPr>
            <a:xfrm>
              <a:off x="3343234" y="4849988"/>
              <a:ext cx="566502" cy="247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de-DE" sz="700" b="0" i="1">
                            <a:solidFill>
                              <a:schemeClr val="bg2">
                                <a:lumMod val="50000"/>
                              </a:schemeClr>
                            </a:solidFill>
                            <a:latin typeface="Cambria Math" panose="02040503050406030204" pitchFamily="18" charset="0"/>
                          </a:rPr>
                        </m:ctrlPr>
                      </m:fPr>
                      <m:num>
                        <m:r>
                          <a:rPr lang="de-DE" sz="700" b="0" i="1">
                            <a:solidFill>
                              <a:schemeClr val="bg2">
                                <a:lumMod val="50000"/>
                              </a:schemeClr>
                            </a:solidFill>
                            <a:latin typeface="Cambria Math" panose="02040503050406030204" pitchFamily="18" charset="0"/>
                          </a:rPr>
                          <m:t>𝑀</m:t>
                        </m:r>
                      </m:num>
                      <m:den>
                        <m:r>
                          <a:rPr lang="de-DE" sz="700" b="0" i="1">
                            <a:solidFill>
                              <a:schemeClr val="bg2">
                                <a:lumMod val="50000"/>
                              </a:schemeClr>
                            </a:solidFill>
                            <a:latin typeface="Cambria Math" panose="02040503050406030204" pitchFamily="18" charset="0"/>
                            <a:ea typeface="Cambria Math" panose="02040503050406030204" pitchFamily="18" charset="0"/>
                          </a:rPr>
                          <m:t>𝛽</m:t>
                        </m:r>
                        <m:d>
                          <m:dPr>
                            <m:ctrlPr>
                              <a:rPr lang="de-DE" sz="700" b="0" i="1">
                                <a:solidFill>
                                  <a:schemeClr val="bg2">
                                    <a:lumMod val="50000"/>
                                  </a:schemeClr>
                                </a:solidFill>
                                <a:latin typeface="Cambria Math" panose="02040503050406030204" pitchFamily="18" charset="0"/>
                                <a:ea typeface="Cambria Math" panose="02040503050406030204" pitchFamily="18" charset="0"/>
                              </a:rPr>
                            </m:ctrlPr>
                          </m:dPr>
                          <m:e>
                            <m:r>
                              <a:rPr lang="de-DE" sz="700" b="0" i="1">
                                <a:solidFill>
                                  <a:schemeClr val="bg2">
                                    <a:lumMod val="50000"/>
                                  </a:schemeClr>
                                </a:solidFill>
                                <a:latin typeface="Cambria Math" panose="02040503050406030204" pitchFamily="18" charset="0"/>
                                <a:ea typeface="Cambria Math" panose="02040503050406030204" pitchFamily="18" charset="0"/>
                              </a:rPr>
                              <m:t>1−</m:t>
                            </m:r>
                            <m:r>
                              <a:rPr lang="de-DE" sz="700" b="0" i="1">
                                <a:solidFill>
                                  <a:schemeClr val="bg2">
                                    <a:lumMod val="50000"/>
                                  </a:schemeClr>
                                </a:solidFill>
                                <a:latin typeface="Cambria Math" panose="02040503050406030204" pitchFamily="18" charset="0"/>
                                <a:ea typeface="Cambria Math" panose="02040503050406030204" pitchFamily="18" charset="0"/>
                              </a:rPr>
                              <m:t>𝑀</m:t>
                            </m:r>
                          </m:e>
                        </m:d>
                        <m:r>
                          <a:rPr lang="de-DE" sz="700" b="0" i="1">
                            <a:solidFill>
                              <a:schemeClr val="bg2">
                                <a:lumMod val="50000"/>
                              </a:schemeClr>
                            </a:solidFill>
                            <a:latin typeface="Cambria Math" panose="02040503050406030204" pitchFamily="18" charset="0"/>
                            <a:ea typeface="Cambria Math" panose="02040503050406030204" pitchFamily="18" charset="0"/>
                          </a:rPr>
                          <m:t>+</m:t>
                        </m:r>
                        <m:r>
                          <a:rPr lang="de-DE" sz="700" b="0" i="1">
                            <a:solidFill>
                              <a:schemeClr val="bg2">
                                <a:lumMod val="50000"/>
                              </a:schemeClr>
                            </a:solidFill>
                            <a:latin typeface="Cambria Math" panose="02040503050406030204" pitchFamily="18" charset="0"/>
                            <a:ea typeface="Cambria Math" panose="02040503050406030204" pitchFamily="18" charset="0"/>
                          </a:rPr>
                          <m:t>𝑀</m:t>
                        </m:r>
                      </m:den>
                    </m:f>
                  </m:oMath>
                </m:oMathPara>
              </a14:m>
              <a:endParaRPr lang="de-DE" sz="700">
                <a:solidFill>
                  <a:schemeClr val="bg2">
                    <a:lumMod val="50000"/>
                  </a:schemeClr>
                </a:solidFill>
                <a:latin typeface="Aptos Narrow" panose="020B0004020202020204" pitchFamily="34" charset="0"/>
              </a:endParaRPr>
            </a:p>
          </xdr:txBody>
        </xdr:sp>
      </mc:Choice>
      <mc:Fallback>
        <xdr:sp macro="" textlink="">
          <xdr:nvSpPr>
            <xdr:cNvPr id="17" name="Textfeld 16">
              <a:extLst>
                <a:ext uri="{FF2B5EF4-FFF2-40B4-BE49-F238E27FC236}">
                  <a16:creationId xmlns:a16="http://schemas.microsoft.com/office/drawing/2014/main" id="{2D67AA85-BFE5-481D-88E5-CA8CBB3D3F4F}"/>
                </a:ext>
              </a:extLst>
            </xdr:cNvPr>
            <xdr:cNvSpPr txBox="1"/>
          </xdr:nvSpPr>
          <xdr:spPr>
            <a:xfrm>
              <a:off x="3343234" y="4849988"/>
              <a:ext cx="566502" cy="247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DE" sz="700" b="0" i="0">
                  <a:solidFill>
                    <a:schemeClr val="bg2">
                      <a:lumMod val="50000"/>
                    </a:schemeClr>
                  </a:solidFill>
                  <a:latin typeface="Cambria Math" panose="02040503050406030204" pitchFamily="18" charset="0"/>
                </a:rPr>
                <a:t>𝑀/(</a:t>
              </a:r>
              <a:r>
                <a:rPr lang="de-DE" sz="700" b="0" i="0">
                  <a:solidFill>
                    <a:schemeClr val="bg2">
                      <a:lumMod val="50000"/>
                    </a:schemeClr>
                  </a:solidFill>
                  <a:latin typeface="Cambria Math" panose="02040503050406030204" pitchFamily="18" charset="0"/>
                  <a:ea typeface="Cambria Math" panose="02040503050406030204" pitchFamily="18" charset="0"/>
                </a:rPr>
                <a:t>𝛽(1−𝑀)+𝑀)</a:t>
              </a:r>
              <a:endParaRPr lang="de-DE" sz="700">
                <a:solidFill>
                  <a:schemeClr val="bg2">
                    <a:lumMod val="50000"/>
                  </a:schemeClr>
                </a:solidFill>
                <a:latin typeface="Aptos Narrow" panose="020B0004020202020204" pitchFamily="34" charset="0"/>
              </a:endParaRPr>
            </a:p>
          </xdr:txBody>
        </xdr:sp>
      </mc:Fallback>
    </mc:AlternateContent>
    <xdr:clientData/>
  </xdr:oneCellAnchor>
  <xdr:oneCellAnchor>
    <xdr:from>
      <xdr:col>7</xdr:col>
      <xdr:colOff>328448</xdr:colOff>
      <xdr:row>23</xdr:row>
      <xdr:rowOff>43526</xdr:rowOff>
    </xdr:from>
    <xdr:ext cx="566502" cy="247964"/>
    <mc:AlternateContent xmlns:mc="http://schemas.openxmlformats.org/markup-compatibility/2006">
      <mc:Choice xmlns:a14="http://schemas.microsoft.com/office/drawing/2010/main" Requires="a14">
        <xdr:sp macro="" textlink="">
          <xdr:nvSpPr>
            <xdr:cNvPr id="18" name="Textfeld 17">
              <a:extLst>
                <a:ext uri="{FF2B5EF4-FFF2-40B4-BE49-F238E27FC236}">
                  <a16:creationId xmlns:a16="http://schemas.microsoft.com/office/drawing/2014/main" id="{C87C5697-8C7F-4D31-954E-5F2EE89D8C75}"/>
                </a:ext>
              </a:extLst>
            </xdr:cNvPr>
            <xdr:cNvSpPr txBox="1"/>
          </xdr:nvSpPr>
          <xdr:spPr>
            <a:xfrm>
              <a:off x="4556083" y="4849988"/>
              <a:ext cx="566502" cy="247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de-DE" sz="700" b="0" i="1">
                            <a:solidFill>
                              <a:schemeClr val="bg2">
                                <a:lumMod val="50000"/>
                              </a:schemeClr>
                            </a:solidFill>
                            <a:latin typeface="Cambria Math" panose="02040503050406030204" pitchFamily="18" charset="0"/>
                          </a:rPr>
                        </m:ctrlPr>
                      </m:fPr>
                      <m:num>
                        <m:r>
                          <a:rPr lang="de-DE" sz="700" b="0" i="1">
                            <a:solidFill>
                              <a:schemeClr val="bg2">
                                <a:lumMod val="50000"/>
                              </a:schemeClr>
                            </a:solidFill>
                            <a:latin typeface="Cambria Math" panose="02040503050406030204" pitchFamily="18" charset="0"/>
                          </a:rPr>
                          <m:t>𝑀</m:t>
                        </m:r>
                      </m:num>
                      <m:den>
                        <m:r>
                          <a:rPr lang="de-DE" sz="700" b="0" i="1">
                            <a:solidFill>
                              <a:schemeClr val="bg2">
                                <a:lumMod val="50000"/>
                              </a:schemeClr>
                            </a:solidFill>
                            <a:latin typeface="Cambria Math" panose="02040503050406030204" pitchFamily="18" charset="0"/>
                            <a:ea typeface="Cambria Math" panose="02040503050406030204" pitchFamily="18" charset="0"/>
                          </a:rPr>
                          <m:t>𝛽</m:t>
                        </m:r>
                        <m:r>
                          <a:rPr lang="de-DE" sz="700" b="0" i="1">
                            <a:solidFill>
                              <a:schemeClr val="bg2">
                                <a:lumMod val="50000"/>
                              </a:schemeClr>
                            </a:solidFill>
                            <a:latin typeface="Cambria Math" panose="02040503050406030204" pitchFamily="18" charset="0"/>
                            <a:ea typeface="Cambria Math" panose="02040503050406030204" pitchFamily="18" charset="0"/>
                          </a:rPr>
                          <m:t>(1−</m:t>
                        </m:r>
                        <m:r>
                          <a:rPr lang="de-DE" sz="700" b="0" i="1">
                            <a:solidFill>
                              <a:schemeClr val="bg2">
                                <a:lumMod val="50000"/>
                              </a:schemeClr>
                            </a:solidFill>
                            <a:latin typeface="Cambria Math" panose="02040503050406030204" pitchFamily="18" charset="0"/>
                          </a:rPr>
                          <m:t>𝑀</m:t>
                        </m:r>
                        <m:r>
                          <a:rPr lang="de-DE" sz="700" b="0" i="1">
                            <a:solidFill>
                              <a:schemeClr val="bg2">
                                <a:lumMod val="50000"/>
                              </a:schemeClr>
                            </a:solidFill>
                            <a:latin typeface="Cambria Math" panose="02040503050406030204" pitchFamily="18" charset="0"/>
                          </a:rPr>
                          <m:t>)</m:t>
                        </m:r>
                      </m:den>
                    </m:f>
                  </m:oMath>
                </m:oMathPara>
              </a14:m>
              <a:endParaRPr lang="de-DE" sz="700">
                <a:solidFill>
                  <a:schemeClr val="bg2">
                    <a:lumMod val="50000"/>
                  </a:schemeClr>
                </a:solidFill>
                <a:latin typeface="Aptos Narrow" panose="020B0004020202020204" pitchFamily="34" charset="0"/>
              </a:endParaRPr>
            </a:p>
          </xdr:txBody>
        </xdr:sp>
      </mc:Choice>
      <mc:Fallback>
        <xdr:sp macro="" textlink="">
          <xdr:nvSpPr>
            <xdr:cNvPr id="18" name="Textfeld 17">
              <a:extLst>
                <a:ext uri="{FF2B5EF4-FFF2-40B4-BE49-F238E27FC236}">
                  <a16:creationId xmlns:a16="http://schemas.microsoft.com/office/drawing/2014/main" id="{C87C5697-8C7F-4D31-954E-5F2EE89D8C75}"/>
                </a:ext>
              </a:extLst>
            </xdr:cNvPr>
            <xdr:cNvSpPr txBox="1"/>
          </xdr:nvSpPr>
          <xdr:spPr>
            <a:xfrm>
              <a:off x="4556083" y="4849988"/>
              <a:ext cx="566502" cy="247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DE" sz="700" b="0" i="0">
                  <a:solidFill>
                    <a:schemeClr val="bg2">
                      <a:lumMod val="50000"/>
                    </a:schemeClr>
                  </a:solidFill>
                  <a:latin typeface="Cambria Math" panose="02040503050406030204" pitchFamily="18" charset="0"/>
                </a:rPr>
                <a:t>𝑀/(</a:t>
              </a:r>
              <a:r>
                <a:rPr lang="de-DE" sz="700" b="0" i="0">
                  <a:solidFill>
                    <a:schemeClr val="bg2">
                      <a:lumMod val="50000"/>
                    </a:schemeClr>
                  </a:solidFill>
                  <a:latin typeface="Cambria Math" panose="02040503050406030204" pitchFamily="18" charset="0"/>
                  <a:ea typeface="Cambria Math" panose="02040503050406030204" pitchFamily="18" charset="0"/>
                </a:rPr>
                <a:t>𝛽(1−</a:t>
              </a:r>
              <a:r>
                <a:rPr lang="de-DE" sz="700" b="0" i="0">
                  <a:solidFill>
                    <a:schemeClr val="bg2">
                      <a:lumMod val="50000"/>
                    </a:schemeClr>
                  </a:solidFill>
                  <a:latin typeface="Cambria Math" panose="02040503050406030204" pitchFamily="18" charset="0"/>
                </a:rPr>
                <a:t>𝑀))</a:t>
              </a:r>
              <a:endParaRPr lang="de-DE" sz="700">
                <a:solidFill>
                  <a:schemeClr val="bg2">
                    <a:lumMod val="50000"/>
                  </a:schemeClr>
                </a:solidFill>
                <a:latin typeface="Aptos Narrow" panose="020B0004020202020204" pitchFamily="34" charset="0"/>
              </a:endParaRPr>
            </a:p>
          </xdr:txBody>
        </xdr:sp>
      </mc:Fallback>
    </mc:AlternateContent>
    <xdr:clientData/>
  </xdr:oneCellAnchor>
  <xdr:oneCellAnchor>
    <xdr:from>
      <xdr:col>5</xdr:col>
      <xdr:colOff>302561</xdr:colOff>
      <xdr:row>24</xdr:row>
      <xdr:rowOff>49236</xdr:rowOff>
    </xdr:from>
    <xdr:ext cx="566502" cy="247964"/>
    <mc:AlternateContent xmlns:mc="http://schemas.openxmlformats.org/markup-compatibility/2006">
      <mc:Choice xmlns:a14="http://schemas.microsoft.com/office/drawing/2010/main" Requires="a14">
        <xdr:sp macro="" textlink="">
          <xdr:nvSpPr>
            <xdr:cNvPr id="19" name="Textfeld 18">
              <a:extLst>
                <a:ext uri="{FF2B5EF4-FFF2-40B4-BE49-F238E27FC236}">
                  <a16:creationId xmlns:a16="http://schemas.microsoft.com/office/drawing/2014/main" id="{8DB9A7F0-3A7D-4B19-B179-5EDD54C57588}"/>
                </a:ext>
              </a:extLst>
            </xdr:cNvPr>
            <xdr:cNvSpPr txBox="1"/>
          </xdr:nvSpPr>
          <xdr:spPr>
            <a:xfrm>
              <a:off x="3343234" y="5163428"/>
              <a:ext cx="566502" cy="247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de-DE" sz="700" b="0" i="1">
                            <a:solidFill>
                              <a:schemeClr val="bg2">
                                <a:lumMod val="50000"/>
                              </a:schemeClr>
                            </a:solidFill>
                            <a:latin typeface="Cambria Math" panose="02040503050406030204" pitchFamily="18" charset="0"/>
                          </a:rPr>
                        </m:ctrlPr>
                      </m:fPr>
                      <m:num>
                        <m:r>
                          <a:rPr lang="de-DE" sz="700" b="0" i="1">
                            <a:solidFill>
                              <a:schemeClr val="bg2">
                                <a:lumMod val="50000"/>
                              </a:schemeClr>
                            </a:solidFill>
                            <a:latin typeface="Cambria Math" panose="02040503050406030204" pitchFamily="18" charset="0"/>
                          </a:rPr>
                          <m:t>𝑀</m:t>
                        </m:r>
                      </m:num>
                      <m:den>
                        <m:r>
                          <a:rPr lang="de-DE" sz="700" b="0" i="1">
                            <a:solidFill>
                              <a:schemeClr val="bg2">
                                <a:lumMod val="50000"/>
                              </a:schemeClr>
                            </a:solidFill>
                            <a:latin typeface="Cambria Math" panose="02040503050406030204" pitchFamily="18" charset="0"/>
                            <a:ea typeface="Cambria Math" panose="02040503050406030204" pitchFamily="18" charset="0"/>
                          </a:rPr>
                          <m:t>𝛽</m:t>
                        </m:r>
                        <m:r>
                          <a:rPr lang="de-DE" sz="700" b="0" i="1">
                            <a:solidFill>
                              <a:schemeClr val="bg2">
                                <a:lumMod val="50000"/>
                              </a:schemeClr>
                            </a:solidFill>
                            <a:latin typeface="Cambria Math" panose="02040503050406030204" pitchFamily="18" charset="0"/>
                          </a:rPr>
                          <m:t>+</m:t>
                        </m:r>
                        <m:r>
                          <a:rPr lang="de-DE" sz="700" b="0" i="1">
                            <a:solidFill>
                              <a:schemeClr val="bg2">
                                <a:lumMod val="50000"/>
                              </a:schemeClr>
                            </a:solidFill>
                            <a:latin typeface="Cambria Math" panose="02040503050406030204" pitchFamily="18" charset="0"/>
                          </a:rPr>
                          <m:t>𝑀</m:t>
                        </m:r>
                      </m:den>
                    </m:f>
                  </m:oMath>
                </m:oMathPara>
              </a14:m>
              <a:endParaRPr lang="de-DE" sz="700">
                <a:solidFill>
                  <a:schemeClr val="bg2">
                    <a:lumMod val="50000"/>
                  </a:schemeClr>
                </a:solidFill>
                <a:latin typeface="Aptos Narrow" panose="020B0004020202020204" pitchFamily="34" charset="0"/>
              </a:endParaRPr>
            </a:p>
          </xdr:txBody>
        </xdr:sp>
      </mc:Choice>
      <mc:Fallback>
        <xdr:sp macro="" textlink="">
          <xdr:nvSpPr>
            <xdr:cNvPr id="19" name="Textfeld 18">
              <a:extLst>
                <a:ext uri="{FF2B5EF4-FFF2-40B4-BE49-F238E27FC236}">
                  <a16:creationId xmlns:a16="http://schemas.microsoft.com/office/drawing/2014/main" id="{8DB9A7F0-3A7D-4B19-B179-5EDD54C57588}"/>
                </a:ext>
              </a:extLst>
            </xdr:cNvPr>
            <xdr:cNvSpPr txBox="1"/>
          </xdr:nvSpPr>
          <xdr:spPr>
            <a:xfrm>
              <a:off x="3343234" y="5163428"/>
              <a:ext cx="566502" cy="247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DE" sz="700" b="0" i="0">
                  <a:solidFill>
                    <a:schemeClr val="bg2">
                      <a:lumMod val="50000"/>
                    </a:schemeClr>
                  </a:solidFill>
                  <a:latin typeface="Cambria Math" panose="02040503050406030204" pitchFamily="18" charset="0"/>
                </a:rPr>
                <a:t>𝑀/(</a:t>
              </a:r>
              <a:r>
                <a:rPr lang="de-DE" sz="700" b="0" i="0">
                  <a:solidFill>
                    <a:schemeClr val="bg2">
                      <a:lumMod val="50000"/>
                    </a:schemeClr>
                  </a:solidFill>
                  <a:latin typeface="Cambria Math" panose="02040503050406030204" pitchFamily="18" charset="0"/>
                  <a:ea typeface="Cambria Math" panose="02040503050406030204" pitchFamily="18" charset="0"/>
                </a:rPr>
                <a:t>𝛽</a:t>
              </a:r>
              <a:r>
                <a:rPr lang="de-DE" sz="700" b="0" i="0">
                  <a:solidFill>
                    <a:schemeClr val="bg2">
                      <a:lumMod val="50000"/>
                    </a:schemeClr>
                  </a:solidFill>
                  <a:latin typeface="Cambria Math" panose="02040503050406030204" pitchFamily="18" charset="0"/>
                </a:rPr>
                <a:t>+𝑀)</a:t>
              </a:r>
              <a:endParaRPr lang="de-DE" sz="700">
                <a:solidFill>
                  <a:schemeClr val="bg2">
                    <a:lumMod val="50000"/>
                  </a:schemeClr>
                </a:solidFill>
                <a:latin typeface="Aptos Narrow" panose="020B0004020202020204" pitchFamily="34" charset="0"/>
              </a:endParaRPr>
            </a:p>
          </xdr:txBody>
        </xdr:sp>
      </mc:Fallback>
    </mc:AlternateContent>
    <xdr:clientData/>
  </xdr:oneCellAnchor>
  <xdr:oneCellAnchor>
    <xdr:from>
      <xdr:col>7</xdr:col>
      <xdr:colOff>562231</xdr:colOff>
      <xdr:row>24</xdr:row>
      <xdr:rowOff>63284</xdr:rowOff>
    </xdr:from>
    <xdr:ext cx="98937" cy="219868"/>
    <mc:AlternateContent xmlns:mc="http://schemas.openxmlformats.org/markup-compatibility/2006">
      <mc:Choice xmlns:a14="http://schemas.microsoft.com/office/drawing/2010/main" Requires="a14">
        <xdr:sp macro="" textlink="">
          <xdr:nvSpPr>
            <xdr:cNvPr id="21" name="Textfeld 20">
              <a:extLst>
                <a:ext uri="{FF2B5EF4-FFF2-40B4-BE49-F238E27FC236}">
                  <a16:creationId xmlns:a16="http://schemas.microsoft.com/office/drawing/2014/main" id="{ADA665E1-1C14-6436-8D18-A41CDCCFC550}"/>
                </a:ext>
              </a:extLst>
            </xdr:cNvPr>
            <xdr:cNvSpPr txBox="1"/>
          </xdr:nvSpPr>
          <xdr:spPr>
            <a:xfrm>
              <a:off x="4789866" y="5177476"/>
              <a:ext cx="98937" cy="2198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700" b="0" i="1">
                            <a:solidFill>
                              <a:schemeClr val="bg2">
                                <a:lumMod val="50000"/>
                              </a:schemeClr>
                            </a:solidFill>
                            <a:latin typeface="Cambria Math" panose="02040503050406030204" pitchFamily="18" charset="0"/>
                            <a:ea typeface="Cambria Math" panose="02040503050406030204" pitchFamily="18" charset="0"/>
                          </a:rPr>
                        </m:ctrlPr>
                      </m:fPr>
                      <m:num>
                        <m:r>
                          <a:rPr lang="de-DE" sz="700" b="0" i="1">
                            <a:solidFill>
                              <a:schemeClr val="bg2">
                                <a:lumMod val="50000"/>
                              </a:schemeClr>
                            </a:solidFill>
                            <a:latin typeface="Cambria Math" panose="02040503050406030204" pitchFamily="18" charset="0"/>
                            <a:ea typeface="Cambria Math" panose="02040503050406030204" pitchFamily="18" charset="0"/>
                          </a:rPr>
                          <m:t>𝑀</m:t>
                        </m:r>
                      </m:num>
                      <m:den>
                        <m:r>
                          <a:rPr lang="de-DE" sz="700" b="0" i="1">
                            <a:solidFill>
                              <a:schemeClr val="bg2">
                                <a:lumMod val="50000"/>
                              </a:schemeClr>
                            </a:solidFill>
                            <a:latin typeface="Cambria Math" panose="02040503050406030204" pitchFamily="18" charset="0"/>
                            <a:ea typeface="Cambria Math" panose="02040503050406030204" pitchFamily="18" charset="0"/>
                          </a:rPr>
                          <m:t>𝛽</m:t>
                        </m:r>
                      </m:den>
                    </m:f>
                  </m:oMath>
                </m:oMathPara>
              </a14:m>
              <a:endParaRPr lang="de-DE" sz="700">
                <a:solidFill>
                  <a:schemeClr val="bg2">
                    <a:lumMod val="50000"/>
                  </a:schemeClr>
                </a:solidFill>
              </a:endParaRPr>
            </a:p>
          </xdr:txBody>
        </xdr:sp>
      </mc:Choice>
      <mc:Fallback>
        <xdr:sp macro="" textlink="">
          <xdr:nvSpPr>
            <xdr:cNvPr id="21" name="Textfeld 20">
              <a:extLst>
                <a:ext uri="{FF2B5EF4-FFF2-40B4-BE49-F238E27FC236}">
                  <a16:creationId xmlns:a16="http://schemas.microsoft.com/office/drawing/2014/main" id="{ADA665E1-1C14-6436-8D18-A41CDCCFC550}"/>
                </a:ext>
              </a:extLst>
            </xdr:cNvPr>
            <xdr:cNvSpPr txBox="1"/>
          </xdr:nvSpPr>
          <xdr:spPr>
            <a:xfrm>
              <a:off x="4789866" y="5177476"/>
              <a:ext cx="98937" cy="2198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700" b="0" i="0">
                  <a:solidFill>
                    <a:schemeClr val="bg2">
                      <a:lumMod val="50000"/>
                    </a:schemeClr>
                  </a:solidFill>
                  <a:latin typeface="Cambria Math" panose="02040503050406030204" pitchFamily="18" charset="0"/>
                  <a:ea typeface="Cambria Math" panose="02040503050406030204" pitchFamily="18" charset="0"/>
                </a:rPr>
                <a:t>𝑀/𝛽</a:t>
              </a:r>
              <a:endParaRPr lang="de-DE" sz="700">
                <a:solidFill>
                  <a:schemeClr val="bg2">
                    <a:lumMod val="50000"/>
                  </a:schemeClr>
                </a:solidFill>
              </a:endParaRPr>
            </a:p>
          </xdr:txBody>
        </xdr:sp>
      </mc:Fallback>
    </mc:AlternateContent>
    <xdr:clientData/>
  </xdr:oneCellAnchor>
  <xdr:oneCellAnchor>
    <xdr:from>
      <xdr:col>3</xdr:col>
      <xdr:colOff>461647</xdr:colOff>
      <xdr:row>25</xdr:row>
      <xdr:rowOff>58755</xdr:rowOff>
    </xdr:from>
    <xdr:ext cx="252057" cy="203902"/>
    <mc:AlternateContent xmlns:mc="http://schemas.openxmlformats.org/markup-compatibility/2006">
      <mc:Choice xmlns:a14="http://schemas.microsoft.com/office/drawing/2010/main" Requires="a14">
        <xdr:sp macro="" textlink="">
          <xdr:nvSpPr>
            <xdr:cNvPr id="22" name="Textfeld 21">
              <a:extLst>
                <a:ext uri="{FF2B5EF4-FFF2-40B4-BE49-F238E27FC236}">
                  <a16:creationId xmlns:a16="http://schemas.microsoft.com/office/drawing/2014/main" id="{F49029B5-6154-449A-B3E7-7CD81A436F7D}"/>
                </a:ext>
              </a:extLst>
            </xdr:cNvPr>
            <xdr:cNvSpPr txBox="1"/>
          </xdr:nvSpPr>
          <xdr:spPr>
            <a:xfrm>
              <a:off x="2315359" y="5480678"/>
              <a:ext cx="252057" cy="2039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700" b="0" i="1">
                            <a:solidFill>
                              <a:schemeClr val="bg2">
                                <a:lumMod val="50000"/>
                              </a:schemeClr>
                            </a:solidFill>
                            <a:latin typeface="Cambria Math" panose="02040503050406030204" pitchFamily="18" charset="0"/>
                          </a:rPr>
                        </m:ctrlPr>
                      </m:fPr>
                      <m:num>
                        <m:r>
                          <a:rPr lang="de-DE" sz="700" b="0" i="1">
                            <a:solidFill>
                              <a:schemeClr val="bg2">
                                <a:lumMod val="50000"/>
                              </a:schemeClr>
                            </a:solidFill>
                            <a:latin typeface="Cambria Math" panose="02040503050406030204" pitchFamily="18" charset="0"/>
                            <a:ea typeface="Cambria Math" panose="02040503050406030204" pitchFamily="18" charset="0"/>
                          </a:rPr>
                          <m:t>𝛽</m:t>
                        </m:r>
                        <m:r>
                          <a:rPr lang="de-DE" sz="700" b="0" i="1">
                            <a:solidFill>
                              <a:schemeClr val="bg2">
                                <a:lumMod val="50000"/>
                              </a:schemeClr>
                            </a:solidFill>
                            <a:latin typeface="Cambria Math" panose="02040503050406030204" pitchFamily="18" charset="0"/>
                          </a:rPr>
                          <m:t>𝑀</m:t>
                        </m:r>
                      </m:num>
                      <m:den>
                        <m:r>
                          <a:rPr lang="de-DE" sz="700" b="0" i="1">
                            <a:solidFill>
                              <a:schemeClr val="bg2">
                                <a:lumMod val="50000"/>
                              </a:schemeClr>
                            </a:solidFill>
                            <a:latin typeface="Cambria Math" panose="02040503050406030204" pitchFamily="18" charset="0"/>
                          </a:rPr>
                          <m:t>1−</m:t>
                        </m:r>
                        <m:r>
                          <a:rPr lang="de-DE" sz="700" b="0" i="1">
                            <a:solidFill>
                              <a:schemeClr val="bg2">
                                <a:lumMod val="50000"/>
                              </a:schemeClr>
                            </a:solidFill>
                            <a:latin typeface="Cambria Math" panose="02040503050406030204" pitchFamily="18" charset="0"/>
                          </a:rPr>
                          <m:t>𝑀</m:t>
                        </m:r>
                      </m:den>
                    </m:f>
                  </m:oMath>
                </m:oMathPara>
              </a14:m>
              <a:endParaRPr lang="de-DE" sz="700">
                <a:solidFill>
                  <a:schemeClr val="bg2">
                    <a:lumMod val="50000"/>
                  </a:schemeClr>
                </a:solidFill>
                <a:latin typeface="Aptos Narrow" panose="020B0004020202020204" pitchFamily="34" charset="0"/>
              </a:endParaRPr>
            </a:p>
          </xdr:txBody>
        </xdr:sp>
      </mc:Choice>
      <mc:Fallback>
        <xdr:sp macro="" textlink="">
          <xdr:nvSpPr>
            <xdr:cNvPr id="22" name="Textfeld 21">
              <a:extLst>
                <a:ext uri="{FF2B5EF4-FFF2-40B4-BE49-F238E27FC236}">
                  <a16:creationId xmlns:a16="http://schemas.microsoft.com/office/drawing/2014/main" id="{F49029B5-6154-449A-B3E7-7CD81A436F7D}"/>
                </a:ext>
              </a:extLst>
            </xdr:cNvPr>
            <xdr:cNvSpPr txBox="1"/>
          </xdr:nvSpPr>
          <xdr:spPr>
            <a:xfrm>
              <a:off x="2315359" y="5480678"/>
              <a:ext cx="252057" cy="2039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700" b="0" i="0">
                  <a:solidFill>
                    <a:schemeClr val="bg2">
                      <a:lumMod val="50000"/>
                    </a:schemeClr>
                  </a:solidFill>
                  <a:latin typeface="Cambria Math" panose="02040503050406030204" pitchFamily="18" charset="0"/>
                  <a:ea typeface="Cambria Math" panose="02040503050406030204" pitchFamily="18" charset="0"/>
                </a:rPr>
                <a:t>𝛽</a:t>
              </a:r>
              <a:r>
                <a:rPr lang="de-DE" sz="700" b="0" i="0">
                  <a:solidFill>
                    <a:schemeClr val="bg2">
                      <a:lumMod val="50000"/>
                    </a:schemeClr>
                  </a:solidFill>
                  <a:latin typeface="Cambria Math" panose="02040503050406030204" pitchFamily="18" charset="0"/>
                </a:rPr>
                <a:t>𝑀/(1−𝑀)</a:t>
              </a:r>
              <a:endParaRPr lang="de-DE" sz="700">
                <a:solidFill>
                  <a:schemeClr val="bg2">
                    <a:lumMod val="50000"/>
                  </a:schemeClr>
                </a:solidFill>
                <a:latin typeface="Aptos Narrow" panose="020B0004020202020204" pitchFamily="34" charset="0"/>
              </a:endParaRPr>
            </a:p>
          </xdr:txBody>
        </xdr:sp>
      </mc:Fallback>
    </mc:AlternateContent>
    <xdr:clientData/>
  </xdr:oneCellAnchor>
  <xdr:oneCellAnchor>
    <xdr:from>
      <xdr:col>7</xdr:col>
      <xdr:colOff>485671</xdr:colOff>
      <xdr:row>25</xdr:row>
      <xdr:rowOff>60198</xdr:rowOff>
    </xdr:from>
    <xdr:ext cx="252057" cy="201017"/>
    <mc:AlternateContent xmlns:mc="http://schemas.openxmlformats.org/markup-compatibility/2006">
      <mc:Choice xmlns:a14="http://schemas.microsoft.com/office/drawing/2010/main" Requires="a14">
        <xdr:sp macro="" textlink="">
          <xdr:nvSpPr>
            <xdr:cNvPr id="23" name="Textfeld 22">
              <a:extLst>
                <a:ext uri="{FF2B5EF4-FFF2-40B4-BE49-F238E27FC236}">
                  <a16:creationId xmlns:a16="http://schemas.microsoft.com/office/drawing/2014/main" id="{19417685-E761-4DC2-985A-D5A39879C22C}"/>
                </a:ext>
              </a:extLst>
            </xdr:cNvPr>
            <xdr:cNvSpPr txBox="1"/>
          </xdr:nvSpPr>
          <xdr:spPr>
            <a:xfrm>
              <a:off x="4713306" y="5482121"/>
              <a:ext cx="252057" cy="2010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700" b="0" i="1">
                            <a:solidFill>
                              <a:schemeClr val="bg2">
                                <a:lumMod val="50000"/>
                              </a:schemeClr>
                            </a:solidFill>
                            <a:latin typeface="Cambria Math" panose="02040503050406030204" pitchFamily="18" charset="0"/>
                          </a:rPr>
                        </m:ctrlPr>
                      </m:fPr>
                      <m:num>
                        <m:r>
                          <a:rPr lang="de-DE" sz="700" b="0" i="1">
                            <a:solidFill>
                              <a:schemeClr val="bg2">
                                <a:lumMod val="50000"/>
                              </a:schemeClr>
                            </a:solidFill>
                            <a:latin typeface="Cambria Math" panose="02040503050406030204" pitchFamily="18" charset="0"/>
                          </a:rPr>
                          <m:t>𝑀</m:t>
                        </m:r>
                      </m:num>
                      <m:den>
                        <m:r>
                          <a:rPr lang="de-DE" sz="700" b="0" i="1">
                            <a:solidFill>
                              <a:schemeClr val="bg2">
                                <a:lumMod val="50000"/>
                              </a:schemeClr>
                            </a:solidFill>
                            <a:latin typeface="Cambria Math" panose="02040503050406030204" pitchFamily="18" charset="0"/>
                          </a:rPr>
                          <m:t>1−</m:t>
                        </m:r>
                        <m:r>
                          <a:rPr lang="de-DE" sz="700" b="0" i="1">
                            <a:solidFill>
                              <a:schemeClr val="bg2">
                                <a:lumMod val="50000"/>
                              </a:schemeClr>
                            </a:solidFill>
                            <a:latin typeface="Cambria Math" panose="02040503050406030204" pitchFamily="18" charset="0"/>
                          </a:rPr>
                          <m:t>𝑀</m:t>
                        </m:r>
                      </m:den>
                    </m:f>
                  </m:oMath>
                </m:oMathPara>
              </a14:m>
              <a:endParaRPr lang="de-DE" sz="700">
                <a:solidFill>
                  <a:schemeClr val="bg2">
                    <a:lumMod val="50000"/>
                  </a:schemeClr>
                </a:solidFill>
                <a:latin typeface="Aptos Narrow" panose="020B0004020202020204" pitchFamily="34" charset="0"/>
              </a:endParaRPr>
            </a:p>
          </xdr:txBody>
        </xdr:sp>
      </mc:Choice>
      <mc:Fallback>
        <xdr:sp macro="" textlink="">
          <xdr:nvSpPr>
            <xdr:cNvPr id="23" name="Textfeld 22">
              <a:extLst>
                <a:ext uri="{FF2B5EF4-FFF2-40B4-BE49-F238E27FC236}">
                  <a16:creationId xmlns:a16="http://schemas.microsoft.com/office/drawing/2014/main" id="{19417685-E761-4DC2-985A-D5A39879C22C}"/>
                </a:ext>
              </a:extLst>
            </xdr:cNvPr>
            <xdr:cNvSpPr txBox="1"/>
          </xdr:nvSpPr>
          <xdr:spPr>
            <a:xfrm>
              <a:off x="4713306" y="5482121"/>
              <a:ext cx="252057" cy="2010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700" b="0" i="0">
                  <a:solidFill>
                    <a:schemeClr val="bg2">
                      <a:lumMod val="50000"/>
                    </a:schemeClr>
                  </a:solidFill>
                  <a:latin typeface="Cambria Math" panose="02040503050406030204" pitchFamily="18" charset="0"/>
                </a:rPr>
                <a:t>𝑀/(1−𝑀)</a:t>
              </a:r>
              <a:endParaRPr lang="de-DE" sz="700">
                <a:solidFill>
                  <a:schemeClr val="bg2">
                    <a:lumMod val="50000"/>
                  </a:schemeClr>
                </a:solidFill>
                <a:latin typeface="Aptos Narrow" panose="020B0004020202020204" pitchFamily="34" charset="0"/>
              </a:endParaRPr>
            </a:p>
          </xdr:txBody>
        </xdr:sp>
      </mc:Fallback>
    </mc:AlternateContent>
    <xdr:clientData/>
  </xdr:oneCellAnchor>
  <xdr:oneCellAnchor>
    <xdr:from>
      <xdr:col>1</xdr:col>
      <xdr:colOff>457986</xdr:colOff>
      <xdr:row>26</xdr:row>
      <xdr:rowOff>51915</xdr:rowOff>
    </xdr:from>
    <xdr:ext cx="306431" cy="222753"/>
    <mc:AlternateContent xmlns:mc="http://schemas.openxmlformats.org/markup-compatibility/2006">
      <mc:Choice xmlns:a14="http://schemas.microsoft.com/office/drawing/2010/main" Requires="a14">
        <xdr:sp macro="" textlink="">
          <xdr:nvSpPr>
            <xdr:cNvPr id="24" name="Textfeld 23">
              <a:extLst>
                <a:ext uri="{FF2B5EF4-FFF2-40B4-BE49-F238E27FC236}">
                  <a16:creationId xmlns:a16="http://schemas.microsoft.com/office/drawing/2014/main" id="{3CEC3F1B-1339-4760-8F1C-D11C59310684}"/>
                </a:ext>
              </a:extLst>
            </xdr:cNvPr>
            <xdr:cNvSpPr txBox="1"/>
          </xdr:nvSpPr>
          <xdr:spPr>
            <a:xfrm>
              <a:off x="1124736" y="5781569"/>
              <a:ext cx="306431" cy="2227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700" b="0" i="1">
                            <a:solidFill>
                              <a:schemeClr val="bg2">
                                <a:lumMod val="50000"/>
                              </a:schemeClr>
                            </a:solidFill>
                            <a:latin typeface="Cambria Math" panose="02040503050406030204" pitchFamily="18" charset="0"/>
                          </a:rPr>
                        </m:ctrlPr>
                      </m:fPr>
                      <m:num>
                        <m:r>
                          <a:rPr lang="de-DE" sz="700" b="0" i="1">
                            <a:solidFill>
                              <a:schemeClr val="bg2">
                                <a:lumMod val="50000"/>
                              </a:schemeClr>
                            </a:solidFill>
                            <a:latin typeface="Cambria Math" panose="02040503050406030204" pitchFamily="18" charset="0"/>
                            <a:ea typeface="Cambria Math" panose="02040503050406030204" pitchFamily="18" charset="0"/>
                          </a:rPr>
                          <m:t>𝛽</m:t>
                        </m:r>
                        <m:r>
                          <a:rPr lang="de-DE" sz="700" b="0" i="1">
                            <a:solidFill>
                              <a:schemeClr val="bg2">
                                <a:lumMod val="50000"/>
                              </a:schemeClr>
                            </a:solidFill>
                            <a:latin typeface="Cambria Math" panose="02040503050406030204" pitchFamily="18" charset="0"/>
                          </a:rPr>
                          <m:t>𝑀</m:t>
                        </m:r>
                      </m:num>
                      <m:den>
                        <m:r>
                          <a:rPr lang="de-DE" sz="700" b="0" i="1">
                            <a:solidFill>
                              <a:schemeClr val="bg2">
                                <a:lumMod val="50000"/>
                              </a:schemeClr>
                            </a:solidFill>
                            <a:latin typeface="Cambria Math" panose="02040503050406030204" pitchFamily="18" charset="0"/>
                          </a:rPr>
                          <m:t>1</m:t>
                        </m:r>
                        <m:r>
                          <a:rPr lang="de-DE" sz="700" b="0" i="1">
                            <a:solidFill>
                              <a:schemeClr val="bg2">
                                <a:lumMod val="50000"/>
                              </a:schemeClr>
                            </a:solidFill>
                            <a:latin typeface="Cambria Math" panose="02040503050406030204" pitchFamily="18" charset="0"/>
                            <a:ea typeface="Cambria Math" panose="02040503050406030204" pitchFamily="18" charset="0"/>
                          </a:rPr>
                          <m:t>+</m:t>
                        </m:r>
                        <m:r>
                          <a:rPr lang="de-DE" sz="700" b="0" i="1">
                            <a:solidFill>
                              <a:schemeClr val="bg2">
                                <a:lumMod val="50000"/>
                              </a:schemeClr>
                            </a:solidFill>
                            <a:latin typeface="Cambria Math" panose="02040503050406030204" pitchFamily="18" charset="0"/>
                            <a:ea typeface="Cambria Math" panose="02040503050406030204" pitchFamily="18" charset="0"/>
                          </a:rPr>
                          <m:t>𝛽</m:t>
                        </m:r>
                        <m:r>
                          <a:rPr lang="de-DE" sz="700" b="0" i="1">
                            <a:solidFill>
                              <a:schemeClr val="bg2">
                                <a:lumMod val="50000"/>
                              </a:schemeClr>
                            </a:solidFill>
                            <a:latin typeface="Cambria Math" panose="02040503050406030204" pitchFamily="18" charset="0"/>
                            <a:ea typeface="Cambria Math" panose="02040503050406030204" pitchFamily="18" charset="0"/>
                          </a:rPr>
                          <m:t>𝑀</m:t>
                        </m:r>
                      </m:den>
                    </m:f>
                  </m:oMath>
                </m:oMathPara>
              </a14:m>
              <a:endParaRPr lang="de-DE" sz="700">
                <a:solidFill>
                  <a:schemeClr val="bg2">
                    <a:lumMod val="50000"/>
                  </a:schemeClr>
                </a:solidFill>
                <a:latin typeface="Aptos Narrow" panose="020B0004020202020204" pitchFamily="34" charset="0"/>
              </a:endParaRPr>
            </a:p>
          </xdr:txBody>
        </xdr:sp>
      </mc:Choice>
      <mc:Fallback>
        <xdr:sp macro="" textlink="">
          <xdr:nvSpPr>
            <xdr:cNvPr id="24" name="Textfeld 23">
              <a:extLst>
                <a:ext uri="{FF2B5EF4-FFF2-40B4-BE49-F238E27FC236}">
                  <a16:creationId xmlns:a16="http://schemas.microsoft.com/office/drawing/2014/main" id="{3CEC3F1B-1339-4760-8F1C-D11C59310684}"/>
                </a:ext>
              </a:extLst>
            </xdr:cNvPr>
            <xdr:cNvSpPr txBox="1"/>
          </xdr:nvSpPr>
          <xdr:spPr>
            <a:xfrm>
              <a:off x="1124736" y="5781569"/>
              <a:ext cx="306431" cy="2227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700" b="0" i="0">
                  <a:solidFill>
                    <a:schemeClr val="bg2">
                      <a:lumMod val="50000"/>
                    </a:schemeClr>
                  </a:solidFill>
                  <a:latin typeface="Cambria Math" panose="02040503050406030204" pitchFamily="18" charset="0"/>
                  <a:ea typeface="Cambria Math" panose="02040503050406030204" pitchFamily="18" charset="0"/>
                </a:rPr>
                <a:t>𝛽</a:t>
              </a:r>
              <a:r>
                <a:rPr lang="de-DE" sz="700" b="0" i="0">
                  <a:solidFill>
                    <a:schemeClr val="bg2">
                      <a:lumMod val="50000"/>
                    </a:schemeClr>
                  </a:solidFill>
                  <a:latin typeface="Cambria Math" panose="02040503050406030204" pitchFamily="18" charset="0"/>
                </a:rPr>
                <a:t>𝑀/(1</a:t>
              </a:r>
              <a:r>
                <a:rPr lang="de-DE" sz="700" b="0" i="0">
                  <a:solidFill>
                    <a:schemeClr val="bg2">
                      <a:lumMod val="50000"/>
                    </a:schemeClr>
                  </a:solidFill>
                  <a:latin typeface="Cambria Math" panose="02040503050406030204" pitchFamily="18" charset="0"/>
                  <a:ea typeface="Cambria Math" panose="02040503050406030204" pitchFamily="18" charset="0"/>
                </a:rPr>
                <a:t>+𝛽𝑀)</a:t>
              </a:r>
              <a:endParaRPr lang="de-DE" sz="700">
                <a:solidFill>
                  <a:schemeClr val="bg2">
                    <a:lumMod val="50000"/>
                  </a:schemeClr>
                </a:solidFill>
                <a:latin typeface="Aptos Narrow" panose="020B0004020202020204" pitchFamily="34" charset="0"/>
              </a:endParaRPr>
            </a:p>
          </xdr:txBody>
        </xdr:sp>
      </mc:Fallback>
    </mc:AlternateContent>
    <xdr:clientData/>
  </xdr:oneCellAnchor>
  <xdr:oneCellAnchor>
    <xdr:from>
      <xdr:col>3</xdr:col>
      <xdr:colOff>512783</xdr:colOff>
      <xdr:row>26</xdr:row>
      <xdr:rowOff>108020</xdr:rowOff>
    </xdr:from>
    <xdr:ext cx="149785" cy="110543"/>
    <mc:AlternateContent xmlns:mc="http://schemas.openxmlformats.org/markup-compatibility/2006">
      <mc:Choice xmlns:a14="http://schemas.microsoft.com/office/drawing/2010/main" Requires="a14">
        <xdr:sp macro="" textlink="">
          <xdr:nvSpPr>
            <xdr:cNvPr id="25" name="Textfeld 24">
              <a:extLst>
                <a:ext uri="{FF2B5EF4-FFF2-40B4-BE49-F238E27FC236}">
                  <a16:creationId xmlns:a16="http://schemas.microsoft.com/office/drawing/2014/main" id="{0CE0D620-8D6A-42F0-B0DB-D8BEAA2118AC}"/>
                </a:ext>
              </a:extLst>
            </xdr:cNvPr>
            <xdr:cNvSpPr txBox="1"/>
          </xdr:nvSpPr>
          <xdr:spPr>
            <a:xfrm>
              <a:off x="2366495" y="5837674"/>
              <a:ext cx="149785" cy="1105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de-DE" sz="700" b="0" i="1">
                        <a:solidFill>
                          <a:schemeClr val="bg2">
                            <a:lumMod val="50000"/>
                          </a:schemeClr>
                        </a:solidFill>
                        <a:latin typeface="Cambria Math" panose="02040503050406030204" pitchFamily="18" charset="0"/>
                        <a:ea typeface="Cambria Math" panose="02040503050406030204" pitchFamily="18" charset="0"/>
                      </a:rPr>
                      <m:t>𝛽</m:t>
                    </m:r>
                    <m:r>
                      <a:rPr lang="de-DE" sz="700" b="0" i="1">
                        <a:solidFill>
                          <a:schemeClr val="bg2">
                            <a:lumMod val="50000"/>
                          </a:schemeClr>
                        </a:solidFill>
                        <a:latin typeface="Cambria Math" panose="02040503050406030204" pitchFamily="18" charset="0"/>
                        <a:ea typeface="Cambria Math" panose="02040503050406030204" pitchFamily="18" charset="0"/>
                      </a:rPr>
                      <m:t>𝑀</m:t>
                    </m:r>
                  </m:oMath>
                </m:oMathPara>
              </a14:m>
              <a:endParaRPr lang="de-DE" sz="700">
                <a:solidFill>
                  <a:schemeClr val="bg2">
                    <a:lumMod val="50000"/>
                  </a:schemeClr>
                </a:solidFill>
                <a:latin typeface="Aptos Narrow" panose="020B0004020202020204" pitchFamily="34" charset="0"/>
              </a:endParaRPr>
            </a:p>
          </xdr:txBody>
        </xdr:sp>
      </mc:Choice>
      <mc:Fallback>
        <xdr:sp macro="" textlink="">
          <xdr:nvSpPr>
            <xdr:cNvPr id="25" name="Textfeld 24">
              <a:extLst>
                <a:ext uri="{FF2B5EF4-FFF2-40B4-BE49-F238E27FC236}">
                  <a16:creationId xmlns:a16="http://schemas.microsoft.com/office/drawing/2014/main" id="{0CE0D620-8D6A-42F0-B0DB-D8BEAA2118AC}"/>
                </a:ext>
              </a:extLst>
            </xdr:cNvPr>
            <xdr:cNvSpPr txBox="1"/>
          </xdr:nvSpPr>
          <xdr:spPr>
            <a:xfrm>
              <a:off x="2366495" y="5837674"/>
              <a:ext cx="149785" cy="1105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700" b="0" i="0">
                  <a:solidFill>
                    <a:schemeClr val="bg2">
                      <a:lumMod val="50000"/>
                    </a:schemeClr>
                  </a:solidFill>
                  <a:latin typeface="Cambria Math" panose="02040503050406030204" pitchFamily="18" charset="0"/>
                  <a:ea typeface="Cambria Math" panose="02040503050406030204" pitchFamily="18" charset="0"/>
                </a:rPr>
                <a:t>𝛽𝑀</a:t>
              </a:r>
              <a:endParaRPr lang="de-DE" sz="700">
                <a:solidFill>
                  <a:schemeClr val="bg2">
                    <a:lumMod val="50000"/>
                  </a:schemeClr>
                </a:solidFill>
                <a:latin typeface="Aptos Narrow" panose="020B0004020202020204" pitchFamily="34" charset="0"/>
              </a:endParaRPr>
            </a:p>
          </xdr:txBody>
        </xdr:sp>
      </mc:Fallback>
    </mc:AlternateContent>
    <xdr:clientData/>
  </xdr:oneCellAnchor>
  <xdr:oneCellAnchor>
    <xdr:from>
      <xdr:col>5</xdr:col>
      <xdr:colOff>459784</xdr:colOff>
      <xdr:row>26</xdr:row>
      <xdr:rowOff>61533</xdr:rowOff>
    </xdr:from>
    <xdr:ext cx="252057" cy="203517"/>
    <mc:AlternateContent xmlns:mc="http://schemas.openxmlformats.org/markup-compatibility/2006">
      <mc:Choice xmlns:a14="http://schemas.microsoft.com/office/drawing/2010/main" Requires="a14">
        <xdr:sp macro="" textlink="">
          <xdr:nvSpPr>
            <xdr:cNvPr id="26" name="Textfeld 25">
              <a:extLst>
                <a:ext uri="{FF2B5EF4-FFF2-40B4-BE49-F238E27FC236}">
                  <a16:creationId xmlns:a16="http://schemas.microsoft.com/office/drawing/2014/main" id="{C9E27612-8F17-4250-BD73-22D76DBA9299}"/>
                </a:ext>
              </a:extLst>
            </xdr:cNvPr>
            <xdr:cNvSpPr txBox="1"/>
          </xdr:nvSpPr>
          <xdr:spPr>
            <a:xfrm>
              <a:off x="3500457" y="5791187"/>
              <a:ext cx="252057" cy="203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700" b="0" i="1">
                            <a:solidFill>
                              <a:schemeClr val="bg2">
                                <a:lumMod val="50000"/>
                              </a:schemeClr>
                            </a:solidFill>
                            <a:latin typeface="Cambria Math" panose="02040503050406030204" pitchFamily="18" charset="0"/>
                          </a:rPr>
                        </m:ctrlPr>
                      </m:fPr>
                      <m:num>
                        <m:r>
                          <a:rPr lang="de-DE" sz="700" b="0" i="1">
                            <a:solidFill>
                              <a:schemeClr val="bg2">
                                <a:lumMod val="50000"/>
                              </a:schemeClr>
                            </a:solidFill>
                            <a:latin typeface="Cambria Math" panose="02040503050406030204" pitchFamily="18" charset="0"/>
                          </a:rPr>
                          <m:t>𝑀</m:t>
                        </m:r>
                      </m:num>
                      <m:den>
                        <m:r>
                          <a:rPr lang="de-DE" sz="700" b="0" i="1">
                            <a:solidFill>
                              <a:schemeClr val="bg2">
                                <a:lumMod val="50000"/>
                              </a:schemeClr>
                            </a:solidFill>
                            <a:latin typeface="Cambria Math" panose="02040503050406030204" pitchFamily="18" charset="0"/>
                            <a:ea typeface="Cambria Math" panose="02040503050406030204" pitchFamily="18" charset="0"/>
                          </a:rPr>
                          <m:t>1+</m:t>
                        </m:r>
                        <m:r>
                          <a:rPr lang="de-DE" sz="700" b="0" i="1">
                            <a:solidFill>
                              <a:schemeClr val="bg2">
                                <a:lumMod val="50000"/>
                              </a:schemeClr>
                            </a:solidFill>
                            <a:latin typeface="Cambria Math" panose="02040503050406030204" pitchFamily="18" charset="0"/>
                            <a:ea typeface="Cambria Math" panose="02040503050406030204" pitchFamily="18" charset="0"/>
                          </a:rPr>
                          <m:t>𝑀</m:t>
                        </m:r>
                      </m:den>
                    </m:f>
                  </m:oMath>
                </m:oMathPara>
              </a14:m>
              <a:endParaRPr lang="de-DE" sz="700">
                <a:solidFill>
                  <a:schemeClr val="bg2">
                    <a:lumMod val="50000"/>
                  </a:schemeClr>
                </a:solidFill>
                <a:latin typeface="Aptos Narrow" panose="020B0004020202020204" pitchFamily="34" charset="0"/>
              </a:endParaRPr>
            </a:p>
          </xdr:txBody>
        </xdr:sp>
      </mc:Choice>
      <mc:Fallback>
        <xdr:sp macro="" textlink="">
          <xdr:nvSpPr>
            <xdr:cNvPr id="26" name="Textfeld 25">
              <a:extLst>
                <a:ext uri="{FF2B5EF4-FFF2-40B4-BE49-F238E27FC236}">
                  <a16:creationId xmlns:a16="http://schemas.microsoft.com/office/drawing/2014/main" id="{C9E27612-8F17-4250-BD73-22D76DBA9299}"/>
                </a:ext>
              </a:extLst>
            </xdr:cNvPr>
            <xdr:cNvSpPr txBox="1"/>
          </xdr:nvSpPr>
          <xdr:spPr>
            <a:xfrm>
              <a:off x="3500457" y="5791187"/>
              <a:ext cx="252057" cy="203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700" b="0" i="0">
                  <a:solidFill>
                    <a:schemeClr val="bg2">
                      <a:lumMod val="50000"/>
                    </a:schemeClr>
                  </a:solidFill>
                  <a:latin typeface="Cambria Math" panose="02040503050406030204" pitchFamily="18" charset="0"/>
                </a:rPr>
                <a:t>𝑀/(</a:t>
              </a:r>
              <a:r>
                <a:rPr lang="de-DE" sz="700" b="0" i="0">
                  <a:solidFill>
                    <a:schemeClr val="bg2">
                      <a:lumMod val="50000"/>
                    </a:schemeClr>
                  </a:solidFill>
                  <a:latin typeface="Cambria Math" panose="02040503050406030204" pitchFamily="18" charset="0"/>
                  <a:ea typeface="Cambria Math" panose="02040503050406030204" pitchFamily="18" charset="0"/>
                </a:rPr>
                <a:t>1+𝑀)</a:t>
              </a:r>
              <a:endParaRPr lang="de-DE" sz="700">
                <a:solidFill>
                  <a:schemeClr val="bg2">
                    <a:lumMod val="50000"/>
                  </a:schemeClr>
                </a:solidFill>
                <a:latin typeface="Aptos Narrow" panose="020B0004020202020204" pitchFamily="34" charset="0"/>
              </a:endParaRPr>
            </a:p>
          </xdr:txBody>
        </xdr:sp>
      </mc:Fallback>
    </mc:AlternateContent>
    <xdr:clientData/>
  </xdr:oneCellAnchor>
  <xdr:oneCellAnchor>
    <xdr:from>
      <xdr:col>1</xdr:col>
      <xdr:colOff>485173</xdr:colOff>
      <xdr:row>24</xdr:row>
      <xdr:rowOff>71460</xdr:rowOff>
    </xdr:from>
    <xdr:ext cx="252057" cy="203517"/>
    <mc:AlternateContent xmlns:mc="http://schemas.openxmlformats.org/markup-compatibility/2006">
      <mc:Choice xmlns:a14="http://schemas.microsoft.com/office/drawing/2010/main" Requires="a14">
        <xdr:sp macro="" textlink="">
          <xdr:nvSpPr>
            <xdr:cNvPr id="27" name="Textfeld 26">
              <a:extLst>
                <a:ext uri="{FF2B5EF4-FFF2-40B4-BE49-F238E27FC236}">
                  <a16:creationId xmlns:a16="http://schemas.microsoft.com/office/drawing/2014/main" id="{DB5D108A-DC07-42C8-B745-140B932593EF}"/>
                </a:ext>
              </a:extLst>
            </xdr:cNvPr>
            <xdr:cNvSpPr txBox="1"/>
          </xdr:nvSpPr>
          <xdr:spPr>
            <a:xfrm>
              <a:off x="1151923" y="5185652"/>
              <a:ext cx="252057" cy="203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700" b="0" i="1">
                            <a:solidFill>
                              <a:schemeClr val="bg2">
                                <a:lumMod val="50000"/>
                              </a:schemeClr>
                            </a:solidFill>
                            <a:latin typeface="Cambria Math" panose="02040503050406030204" pitchFamily="18" charset="0"/>
                          </a:rPr>
                        </m:ctrlPr>
                      </m:fPr>
                      <m:num>
                        <m:r>
                          <a:rPr lang="de-DE" sz="700" b="0" i="1">
                            <a:solidFill>
                              <a:schemeClr val="bg2">
                                <a:lumMod val="50000"/>
                              </a:schemeClr>
                            </a:solidFill>
                            <a:latin typeface="Cambria Math" panose="02040503050406030204" pitchFamily="18" charset="0"/>
                          </a:rPr>
                          <m:t>𝑀</m:t>
                        </m:r>
                      </m:num>
                      <m:den>
                        <m:r>
                          <a:rPr lang="de-DE" sz="700" b="0" i="1">
                            <a:solidFill>
                              <a:schemeClr val="bg2">
                                <a:lumMod val="50000"/>
                              </a:schemeClr>
                            </a:solidFill>
                            <a:latin typeface="Cambria Math" panose="02040503050406030204" pitchFamily="18" charset="0"/>
                          </a:rPr>
                          <m:t>1+</m:t>
                        </m:r>
                        <m:r>
                          <a:rPr lang="de-DE" sz="700" b="0" i="1">
                            <a:solidFill>
                              <a:schemeClr val="bg2">
                                <a:lumMod val="50000"/>
                              </a:schemeClr>
                            </a:solidFill>
                            <a:latin typeface="Cambria Math" panose="02040503050406030204" pitchFamily="18" charset="0"/>
                            <a:ea typeface="Cambria Math" panose="02040503050406030204" pitchFamily="18" charset="0"/>
                          </a:rPr>
                          <m:t>𝑀</m:t>
                        </m:r>
                      </m:den>
                    </m:f>
                  </m:oMath>
                </m:oMathPara>
              </a14:m>
              <a:endParaRPr lang="de-DE" sz="700">
                <a:solidFill>
                  <a:schemeClr val="bg2">
                    <a:lumMod val="50000"/>
                  </a:schemeClr>
                </a:solidFill>
                <a:latin typeface="Aptos Narrow" panose="020B0004020202020204" pitchFamily="34" charset="0"/>
              </a:endParaRPr>
            </a:p>
          </xdr:txBody>
        </xdr:sp>
      </mc:Choice>
      <mc:Fallback>
        <xdr:sp macro="" textlink="">
          <xdr:nvSpPr>
            <xdr:cNvPr id="27" name="Textfeld 26">
              <a:extLst>
                <a:ext uri="{FF2B5EF4-FFF2-40B4-BE49-F238E27FC236}">
                  <a16:creationId xmlns:a16="http://schemas.microsoft.com/office/drawing/2014/main" id="{DB5D108A-DC07-42C8-B745-140B932593EF}"/>
                </a:ext>
              </a:extLst>
            </xdr:cNvPr>
            <xdr:cNvSpPr txBox="1"/>
          </xdr:nvSpPr>
          <xdr:spPr>
            <a:xfrm>
              <a:off x="1151923" y="5185652"/>
              <a:ext cx="252057" cy="203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700" b="0" i="0">
                  <a:solidFill>
                    <a:schemeClr val="bg2">
                      <a:lumMod val="50000"/>
                    </a:schemeClr>
                  </a:solidFill>
                  <a:latin typeface="Cambria Math" panose="02040503050406030204" pitchFamily="18" charset="0"/>
                </a:rPr>
                <a:t>𝑀/(1+</a:t>
              </a:r>
              <a:r>
                <a:rPr lang="de-DE" sz="700" b="0" i="0">
                  <a:solidFill>
                    <a:schemeClr val="bg2">
                      <a:lumMod val="50000"/>
                    </a:schemeClr>
                  </a:solidFill>
                  <a:latin typeface="Cambria Math" panose="02040503050406030204" pitchFamily="18" charset="0"/>
                  <a:ea typeface="Cambria Math" panose="02040503050406030204" pitchFamily="18" charset="0"/>
                </a:rPr>
                <a:t>𝑀)</a:t>
              </a:r>
              <a:endParaRPr lang="de-DE" sz="700">
                <a:solidFill>
                  <a:schemeClr val="bg2">
                    <a:lumMod val="50000"/>
                  </a:schemeClr>
                </a:solidFill>
                <a:latin typeface="Aptos Narrow" panose="020B0004020202020204" pitchFamily="34" charset="0"/>
              </a:endParaRPr>
            </a:p>
          </xdr:txBody>
        </xdr:sp>
      </mc:Fallback>
    </mc:AlternateContent>
    <xdr:clientData/>
  </xdr:oneCellAnchor>
  <xdr:oneCellAnchor>
    <xdr:from>
      <xdr:col>1</xdr:col>
      <xdr:colOff>561732</xdr:colOff>
      <xdr:row>23</xdr:row>
      <xdr:rowOff>112717</xdr:rowOff>
    </xdr:from>
    <xdr:ext cx="98938" cy="109582"/>
    <mc:AlternateContent xmlns:mc="http://schemas.openxmlformats.org/markup-compatibility/2006">
      <mc:Choice xmlns:a14="http://schemas.microsoft.com/office/drawing/2010/main" Requires="a14">
        <xdr:sp macro="" textlink="">
          <xdr:nvSpPr>
            <xdr:cNvPr id="30" name="Textfeld 29">
              <a:extLst>
                <a:ext uri="{FF2B5EF4-FFF2-40B4-BE49-F238E27FC236}">
                  <a16:creationId xmlns:a16="http://schemas.microsoft.com/office/drawing/2014/main" id="{BCEA709A-414B-43B0-9B12-338B3EA5C773}"/>
                </a:ext>
              </a:extLst>
            </xdr:cNvPr>
            <xdr:cNvSpPr txBox="1"/>
          </xdr:nvSpPr>
          <xdr:spPr>
            <a:xfrm>
              <a:off x="1228482" y="4919179"/>
              <a:ext cx="98938" cy="10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de-DE" sz="700" b="0" i="1">
                        <a:solidFill>
                          <a:schemeClr val="bg2">
                            <a:lumMod val="50000"/>
                          </a:schemeClr>
                        </a:solidFill>
                        <a:latin typeface="Cambria Math" panose="02040503050406030204" pitchFamily="18" charset="0"/>
                        <a:ea typeface="Cambria Math" panose="02040503050406030204" pitchFamily="18" charset="0"/>
                      </a:rPr>
                      <m:t>𝑀</m:t>
                    </m:r>
                  </m:oMath>
                </m:oMathPara>
              </a14:m>
              <a:endParaRPr lang="de-DE" sz="700">
                <a:solidFill>
                  <a:schemeClr val="bg2">
                    <a:lumMod val="50000"/>
                  </a:schemeClr>
                </a:solidFill>
              </a:endParaRPr>
            </a:p>
          </xdr:txBody>
        </xdr:sp>
      </mc:Choice>
      <mc:Fallback>
        <xdr:sp macro="" textlink="">
          <xdr:nvSpPr>
            <xdr:cNvPr id="30" name="Textfeld 29">
              <a:extLst>
                <a:ext uri="{FF2B5EF4-FFF2-40B4-BE49-F238E27FC236}">
                  <a16:creationId xmlns:a16="http://schemas.microsoft.com/office/drawing/2014/main" id="{BCEA709A-414B-43B0-9B12-338B3EA5C773}"/>
                </a:ext>
              </a:extLst>
            </xdr:cNvPr>
            <xdr:cNvSpPr txBox="1"/>
          </xdr:nvSpPr>
          <xdr:spPr>
            <a:xfrm>
              <a:off x="1228482" y="4919179"/>
              <a:ext cx="98938" cy="10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700" b="0" i="0">
                  <a:solidFill>
                    <a:schemeClr val="bg2">
                      <a:lumMod val="50000"/>
                    </a:schemeClr>
                  </a:solidFill>
                  <a:latin typeface="Cambria Math" panose="02040503050406030204" pitchFamily="18" charset="0"/>
                  <a:ea typeface="Cambria Math" panose="02040503050406030204" pitchFamily="18" charset="0"/>
                </a:rPr>
                <a:t>𝑀</a:t>
              </a:r>
              <a:endParaRPr lang="de-DE" sz="700">
                <a:solidFill>
                  <a:schemeClr val="bg2">
                    <a:lumMod val="50000"/>
                  </a:schemeClr>
                </a:solidFill>
              </a:endParaRPr>
            </a:p>
          </xdr:txBody>
        </xdr:sp>
      </mc:Fallback>
    </mc:AlternateContent>
    <xdr:clientData/>
  </xdr:oneCellAnchor>
  <xdr:oneCellAnchor>
    <xdr:from>
      <xdr:col>3</xdr:col>
      <xdr:colOff>538206</xdr:colOff>
      <xdr:row>24</xdr:row>
      <xdr:rowOff>118427</xdr:rowOff>
    </xdr:from>
    <xdr:ext cx="98938" cy="109582"/>
    <mc:AlternateContent xmlns:mc="http://schemas.openxmlformats.org/markup-compatibility/2006">
      <mc:Choice xmlns:a14="http://schemas.microsoft.com/office/drawing/2010/main" Requires="a14">
        <xdr:sp macro="" textlink="">
          <xdr:nvSpPr>
            <xdr:cNvPr id="31" name="Textfeld 30">
              <a:extLst>
                <a:ext uri="{FF2B5EF4-FFF2-40B4-BE49-F238E27FC236}">
                  <a16:creationId xmlns:a16="http://schemas.microsoft.com/office/drawing/2014/main" id="{BEE2B455-CEE8-49D3-9570-BAF82E1AB6A9}"/>
                </a:ext>
              </a:extLst>
            </xdr:cNvPr>
            <xdr:cNvSpPr txBox="1"/>
          </xdr:nvSpPr>
          <xdr:spPr>
            <a:xfrm>
              <a:off x="2391918" y="5232619"/>
              <a:ext cx="98938" cy="10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de-DE" sz="700" b="0" i="1">
                        <a:solidFill>
                          <a:schemeClr val="bg2">
                            <a:lumMod val="50000"/>
                          </a:schemeClr>
                        </a:solidFill>
                        <a:latin typeface="Cambria Math" panose="02040503050406030204" pitchFamily="18" charset="0"/>
                        <a:ea typeface="Cambria Math" panose="02040503050406030204" pitchFamily="18" charset="0"/>
                      </a:rPr>
                      <m:t>𝑀</m:t>
                    </m:r>
                  </m:oMath>
                </m:oMathPara>
              </a14:m>
              <a:endParaRPr lang="de-DE" sz="700">
                <a:solidFill>
                  <a:schemeClr val="bg2">
                    <a:lumMod val="50000"/>
                  </a:schemeClr>
                </a:solidFill>
              </a:endParaRPr>
            </a:p>
          </xdr:txBody>
        </xdr:sp>
      </mc:Choice>
      <mc:Fallback>
        <xdr:sp macro="" textlink="">
          <xdr:nvSpPr>
            <xdr:cNvPr id="31" name="Textfeld 30">
              <a:extLst>
                <a:ext uri="{FF2B5EF4-FFF2-40B4-BE49-F238E27FC236}">
                  <a16:creationId xmlns:a16="http://schemas.microsoft.com/office/drawing/2014/main" id="{BEE2B455-CEE8-49D3-9570-BAF82E1AB6A9}"/>
                </a:ext>
              </a:extLst>
            </xdr:cNvPr>
            <xdr:cNvSpPr txBox="1"/>
          </xdr:nvSpPr>
          <xdr:spPr>
            <a:xfrm>
              <a:off x="2391918" y="5232619"/>
              <a:ext cx="98938" cy="10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700" b="0" i="0">
                  <a:solidFill>
                    <a:schemeClr val="bg2">
                      <a:lumMod val="50000"/>
                    </a:schemeClr>
                  </a:solidFill>
                  <a:latin typeface="Cambria Math" panose="02040503050406030204" pitchFamily="18" charset="0"/>
                  <a:ea typeface="Cambria Math" panose="02040503050406030204" pitchFamily="18" charset="0"/>
                </a:rPr>
                <a:t>𝑀</a:t>
              </a:r>
              <a:endParaRPr lang="de-DE" sz="700">
                <a:solidFill>
                  <a:schemeClr val="bg2">
                    <a:lumMod val="50000"/>
                  </a:schemeClr>
                </a:solidFill>
              </a:endParaRPr>
            </a:p>
          </xdr:txBody>
        </xdr:sp>
      </mc:Fallback>
    </mc:AlternateContent>
    <xdr:clientData/>
  </xdr:oneCellAnchor>
  <xdr:oneCellAnchor>
    <xdr:from>
      <xdr:col>5</xdr:col>
      <xdr:colOff>536343</xdr:colOff>
      <xdr:row>25</xdr:row>
      <xdr:rowOff>105915</xdr:rowOff>
    </xdr:from>
    <xdr:ext cx="98938" cy="109582"/>
    <mc:AlternateContent xmlns:mc="http://schemas.openxmlformats.org/markup-compatibility/2006">
      <mc:Choice xmlns:a14="http://schemas.microsoft.com/office/drawing/2010/main" Requires="a14">
        <xdr:sp macro="" textlink="">
          <xdr:nvSpPr>
            <xdr:cNvPr id="32" name="Textfeld 31">
              <a:extLst>
                <a:ext uri="{FF2B5EF4-FFF2-40B4-BE49-F238E27FC236}">
                  <a16:creationId xmlns:a16="http://schemas.microsoft.com/office/drawing/2014/main" id="{4051256D-4A81-443D-B994-821EDD228F4F}"/>
                </a:ext>
              </a:extLst>
            </xdr:cNvPr>
            <xdr:cNvSpPr txBox="1"/>
          </xdr:nvSpPr>
          <xdr:spPr>
            <a:xfrm>
              <a:off x="3577016" y="5527838"/>
              <a:ext cx="98938" cy="10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de-DE" sz="700" b="0" i="1">
                        <a:solidFill>
                          <a:schemeClr val="bg2">
                            <a:lumMod val="50000"/>
                          </a:schemeClr>
                        </a:solidFill>
                        <a:latin typeface="Cambria Math" panose="02040503050406030204" pitchFamily="18" charset="0"/>
                        <a:ea typeface="Cambria Math" panose="02040503050406030204" pitchFamily="18" charset="0"/>
                      </a:rPr>
                      <m:t>𝑀</m:t>
                    </m:r>
                  </m:oMath>
                </m:oMathPara>
              </a14:m>
              <a:endParaRPr lang="de-DE" sz="700">
                <a:solidFill>
                  <a:schemeClr val="bg2">
                    <a:lumMod val="50000"/>
                  </a:schemeClr>
                </a:solidFill>
              </a:endParaRPr>
            </a:p>
          </xdr:txBody>
        </xdr:sp>
      </mc:Choice>
      <mc:Fallback>
        <xdr:sp macro="" textlink="">
          <xdr:nvSpPr>
            <xdr:cNvPr id="32" name="Textfeld 31">
              <a:extLst>
                <a:ext uri="{FF2B5EF4-FFF2-40B4-BE49-F238E27FC236}">
                  <a16:creationId xmlns:a16="http://schemas.microsoft.com/office/drawing/2014/main" id="{4051256D-4A81-443D-B994-821EDD228F4F}"/>
                </a:ext>
              </a:extLst>
            </xdr:cNvPr>
            <xdr:cNvSpPr txBox="1"/>
          </xdr:nvSpPr>
          <xdr:spPr>
            <a:xfrm>
              <a:off x="3577016" y="5527838"/>
              <a:ext cx="98938" cy="10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700" b="0" i="0">
                  <a:solidFill>
                    <a:schemeClr val="bg2">
                      <a:lumMod val="50000"/>
                    </a:schemeClr>
                  </a:solidFill>
                  <a:latin typeface="Cambria Math" panose="02040503050406030204" pitchFamily="18" charset="0"/>
                  <a:ea typeface="Cambria Math" panose="02040503050406030204" pitchFamily="18" charset="0"/>
                </a:rPr>
                <a:t>𝑀</a:t>
              </a:r>
              <a:endParaRPr lang="de-DE" sz="700">
                <a:solidFill>
                  <a:schemeClr val="bg2">
                    <a:lumMod val="50000"/>
                  </a:schemeClr>
                </a:solidFill>
              </a:endParaRPr>
            </a:p>
          </xdr:txBody>
        </xdr:sp>
      </mc:Fallback>
    </mc:AlternateContent>
    <xdr:clientData/>
  </xdr:oneCellAnchor>
  <xdr:oneCellAnchor>
    <xdr:from>
      <xdr:col>7</xdr:col>
      <xdr:colOff>562230</xdr:colOff>
      <xdr:row>26</xdr:row>
      <xdr:rowOff>108500</xdr:rowOff>
    </xdr:from>
    <xdr:ext cx="98938" cy="109582"/>
    <mc:AlternateContent xmlns:mc="http://schemas.openxmlformats.org/markup-compatibility/2006">
      <mc:Choice xmlns:a14="http://schemas.microsoft.com/office/drawing/2010/main" Requires="a14">
        <xdr:sp macro="" textlink="">
          <xdr:nvSpPr>
            <xdr:cNvPr id="33" name="Textfeld 32">
              <a:extLst>
                <a:ext uri="{FF2B5EF4-FFF2-40B4-BE49-F238E27FC236}">
                  <a16:creationId xmlns:a16="http://schemas.microsoft.com/office/drawing/2014/main" id="{7626F874-14FF-4388-9B77-903F984C2468}"/>
                </a:ext>
              </a:extLst>
            </xdr:cNvPr>
            <xdr:cNvSpPr txBox="1"/>
          </xdr:nvSpPr>
          <xdr:spPr>
            <a:xfrm>
              <a:off x="4789865" y="5838154"/>
              <a:ext cx="98938" cy="10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de-DE" sz="700" b="0" i="1">
                        <a:solidFill>
                          <a:schemeClr val="bg2">
                            <a:lumMod val="50000"/>
                          </a:schemeClr>
                        </a:solidFill>
                        <a:latin typeface="Cambria Math" panose="02040503050406030204" pitchFamily="18" charset="0"/>
                        <a:ea typeface="Cambria Math" panose="02040503050406030204" pitchFamily="18" charset="0"/>
                      </a:rPr>
                      <m:t>𝑀</m:t>
                    </m:r>
                  </m:oMath>
                </m:oMathPara>
              </a14:m>
              <a:endParaRPr lang="de-DE" sz="700">
                <a:solidFill>
                  <a:schemeClr val="bg2">
                    <a:lumMod val="50000"/>
                  </a:schemeClr>
                </a:solidFill>
              </a:endParaRPr>
            </a:p>
          </xdr:txBody>
        </xdr:sp>
      </mc:Choice>
      <mc:Fallback>
        <xdr:sp macro="" textlink="">
          <xdr:nvSpPr>
            <xdr:cNvPr id="33" name="Textfeld 32">
              <a:extLst>
                <a:ext uri="{FF2B5EF4-FFF2-40B4-BE49-F238E27FC236}">
                  <a16:creationId xmlns:a16="http://schemas.microsoft.com/office/drawing/2014/main" id="{7626F874-14FF-4388-9B77-903F984C2468}"/>
                </a:ext>
              </a:extLst>
            </xdr:cNvPr>
            <xdr:cNvSpPr txBox="1"/>
          </xdr:nvSpPr>
          <xdr:spPr>
            <a:xfrm>
              <a:off x="4789865" y="5838154"/>
              <a:ext cx="98938" cy="10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700" b="0" i="0">
                  <a:solidFill>
                    <a:schemeClr val="bg2">
                      <a:lumMod val="50000"/>
                    </a:schemeClr>
                  </a:solidFill>
                  <a:latin typeface="Cambria Math" panose="02040503050406030204" pitchFamily="18" charset="0"/>
                  <a:ea typeface="Cambria Math" panose="02040503050406030204" pitchFamily="18" charset="0"/>
                </a:rPr>
                <a:t>𝑀</a:t>
              </a:r>
              <a:endParaRPr lang="de-DE" sz="700">
                <a:solidFill>
                  <a:schemeClr val="bg2">
                    <a:lumMod val="50000"/>
                  </a:schemeClr>
                </a:solidFill>
              </a:endParaRPr>
            </a:p>
          </xdr:txBody>
        </xdr:sp>
      </mc:Fallback>
    </mc:AlternateContent>
    <xdr:clientData/>
  </xdr:oneCellAnchor>
  <xdr:twoCellAnchor editAs="oneCell">
    <xdr:from>
      <xdr:col>0</xdr:col>
      <xdr:colOff>102578</xdr:colOff>
      <xdr:row>10</xdr:row>
      <xdr:rowOff>109905</xdr:rowOff>
    </xdr:from>
    <xdr:to>
      <xdr:col>5</xdr:col>
      <xdr:colOff>301905</xdr:colOff>
      <xdr:row>20</xdr:row>
      <xdr:rowOff>30622</xdr:rowOff>
    </xdr:to>
    <xdr:pic>
      <xdr:nvPicPr>
        <xdr:cNvPr id="4" name="Grafik 3">
          <a:extLst>
            <a:ext uri="{FF2B5EF4-FFF2-40B4-BE49-F238E27FC236}">
              <a16:creationId xmlns:a16="http://schemas.microsoft.com/office/drawing/2014/main" id="{296112DB-670C-1EE3-E9D2-4559E520E78E}"/>
            </a:ext>
          </a:extLst>
        </xdr:cNvPr>
        <xdr:cNvPicPr>
          <a:picLocks noChangeAspect="1"/>
        </xdr:cNvPicPr>
      </xdr:nvPicPr>
      <xdr:blipFill>
        <a:blip xmlns:r="http://schemas.openxmlformats.org/officeDocument/2006/relationships" r:embed="rId4"/>
        <a:stretch>
          <a:fillRect/>
        </a:stretch>
      </xdr:blipFill>
      <xdr:spPr>
        <a:xfrm>
          <a:off x="102578" y="1991093"/>
          <a:ext cx="3215577" cy="2222592"/>
        </a:xfrm>
        <a:prstGeom prst="rect">
          <a:avLst/>
        </a:prstGeom>
      </xdr:spPr>
    </xdr:pic>
    <xdr:clientData/>
  </xdr:twoCellAnchor>
  <xdr:twoCellAnchor editAs="oneCell">
    <xdr:from>
      <xdr:col>5</xdr:col>
      <xdr:colOff>461598</xdr:colOff>
      <xdr:row>10</xdr:row>
      <xdr:rowOff>109905</xdr:rowOff>
    </xdr:from>
    <xdr:to>
      <xdr:col>11</xdr:col>
      <xdr:colOff>151338</xdr:colOff>
      <xdr:row>20</xdr:row>
      <xdr:rowOff>30959</xdr:rowOff>
    </xdr:to>
    <xdr:pic>
      <xdr:nvPicPr>
        <xdr:cNvPr id="5" name="Grafik 4">
          <a:extLst>
            <a:ext uri="{FF2B5EF4-FFF2-40B4-BE49-F238E27FC236}">
              <a16:creationId xmlns:a16="http://schemas.microsoft.com/office/drawing/2014/main" id="{05135E61-4CB0-761B-7269-07254EA7FD2E}"/>
            </a:ext>
          </a:extLst>
        </xdr:cNvPr>
        <xdr:cNvPicPr>
          <a:picLocks noChangeAspect="1"/>
        </xdr:cNvPicPr>
      </xdr:nvPicPr>
      <xdr:blipFill>
        <a:blip xmlns:r="http://schemas.openxmlformats.org/officeDocument/2006/relationships" r:embed="rId5"/>
        <a:stretch>
          <a:fillRect/>
        </a:stretch>
      </xdr:blipFill>
      <xdr:spPr>
        <a:xfrm>
          <a:off x="3477848" y="1991093"/>
          <a:ext cx="3213990" cy="2222929"/>
        </a:xfrm>
        <a:prstGeom prst="rect">
          <a:avLst/>
        </a:prstGeom>
      </xdr:spPr>
    </xdr:pic>
    <xdr:clientData/>
  </xdr:twoCellAnchor>
  <xdr:twoCellAnchor editAs="absolute">
    <xdr:from>
      <xdr:col>14</xdr:col>
      <xdr:colOff>51288</xdr:colOff>
      <xdr:row>0</xdr:row>
      <xdr:rowOff>131885</xdr:rowOff>
    </xdr:from>
    <xdr:to>
      <xdr:col>15</xdr:col>
      <xdr:colOff>513480</xdr:colOff>
      <xdr:row>2</xdr:row>
      <xdr:rowOff>147171</xdr:rowOff>
    </xdr:to>
    <xdr:pic>
      <xdr:nvPicPr>
        <xdr:cNvPr id="2" name="Grafik 1">
          <a:extLst>
            <a:ext uri="{FF2B5EF4-FFF2-40B4-BE49-F238E27FC236}">
              <a16:creationId xmlns:a16="http://schemas.microsoft.com/office/drawing/2014/main" id="{463E378C-F8A7-434C-BBC3-BFEE0EF72E1B}"/>
            </a:ext>
          </a:extLst>
        </xdr:cNvPr>
        <xdr:cNvPicPr>
          <a:picLocks noChangeAspect="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425961" y="131885"/>
          <a:ext cx="1055673" cy="469555"/>
        </a:xfrm>
        <a:prstGeom prst="rect">
          <a:avLst/>
        </a:prstGeom>
      </xdr:spPr>
    </xdr:pic>
    <xdr:clientData/>
  </xdr:twoCellAnchor>
  <xdr:twoCellAnchor>
    <xdr:from>
      <xdr:col>0</xdr:col>
      <xdr:colOff>0</xdr:colOff>
      <xdr:row>20</xdr:row>
      <xdr:rowOff>111125</xdr:rowOff>
    </xdr:from>
    <xdr:to>
      <xdr:col>9</xdr:col>
      <xdr:colOff>381000</xdr:colOff>
      <xdr:row>27</xdr:row>
      <xdr:rowOff>230188</xdr:rowOff>
    </xdr:to>
    <xdr:sp macro="" textlink="">
      <xdr:nvSpPr>
        <xdr:cNvPr id="3" name="Rechteck 2">
          <a:extLst>
            <a:ext uri="{FF2B5EF4-FFF2-40B4-BE49-F238E27FC236}">
              <a16:creationId xmlns:a16="http://schemas.microsoft.com/office/drawing/2014/main" id="{D94D16A5-D9FE-F046-7CB5-B2C18DB48FE1}"/>
            </a:ext>
          </a:extLst>
        </xdr:cNvPr>
        <xdr:cNvSpPr/>
      </xdr:nvSpPr>
      <xdr:spPr>
        <a:xfrm>
          <a:off x="0" y="4294188"/>
          <a:ext cx="5746750" cy="2016125"/>
        </a:xfrm>
        <a:prstGeom prst="rect">
          <a:avLst/>
        </a:prstGeom>
        <a:solidFill>
          <a:srgbClr val="FBFBF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190499</xdr:colOff>
      <xdr:row>9</xdr:row>
      <xdr:rowOff>49530</xdr:rowOff>
    </xdr:from>
    <xdr:to>
      <xdr:col>14</xdr:col>
      <xdr:colOff>533399</xdr:colOff>
      <xdr:row>27</xdr:row>
      <xdr:rowOff>144780</xdr:rowOff>
    </xdr:to>
    <xdr:graphicFrame macro="">
      <xdr:nvGraphicFramePr>
        <xdr:cNvPr id="2" name="Diagramm 1">
          <a:extLst>
            <a:ext uri="{FF2B5EF4-FFF2-40B4-BE49-F238E27FC236}">
              <a16:creationId xmlns:a16="http://schemas.microsoft.com/office/drawing/2014/main" id="{ED2DF7BC-43DF-0A30-D5F3-1779753A7D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76206</xdr:colOff>
      <xdr:row>0</xdr:row>
      <xdr:rowOff>29310</xdr:rowOff>
    </xdr:from>
    <xdr:to>
      <xdr:col>0</xdr:col>
      <xdr:colOff>292206</xdr:colOff>
      <xdr:row>1</xdr:row>
      <xdr:rowOff>16710</xdr:rowOff>
    </xdr:to>
    <xdr:pic>
      <xdr:nvPicPr>
        <xdr:cNvPr id="5" name="Grafik 4" descr="Start mit einfarbiger Füllung">
          <a:hlinkClick xmlns:r="http://schemas.openxmlformats.org/officeDocument/2006/relationships" r:id="rId2"/>
          <a:extLst>
            <a:ext uri="{FF2B5EF4-FFF2-40B4-BE49-F238E27FC236}">
              <a16:creationId xmlns:a16="http://schemas.microsoft.com/office/drawing/2014/main" id="{776E1F21-4808-4F57-9912-D33EF09E0E6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76206" y="29310"/>
          <a:ext cx="216000" cy="216000"/>
        </a:xfrm>
        <a:prstGeom prst="rect">
          <a:avLst/>
        </a:prstGeom>
      </xdr:spPr>
    </xdr:pic>
    <xdr:clientData/>
  </xdr:twoCellAnchor>
  <xdr:twoCellAnchor editAs="absolute">
    <xdr:from>
      <xdr:col>13</xdr:col>
      <xdr:colOff>300402</xdr:colOff>
      <xdr:row>0</xdr:row>
      <xdr:rowOff>131885</xdr:rowOff>
    </xdr:from>
    <xdr:to>
      <xdr:col>14</xdr:col>
      <xdr:colOff>615183</xdr:colOff>
      <xdr:row>2</xdr:row>
      <xdr:rowOff>145616</xdr:rowOff>
    </xdr:to>
    <xdr:pic>
      <xdr:nvPicPr>
        <xdr:cNvPr id="8" name="Grafik 7">
          <a:extLst>
            <a:ext uri="{FF2B5EF4-FFF2-40B4-BE49-F238E27FC236}">
              <a16:creationId xmlns:a16="http://schemas.microsoft.com/office/drawing/2014/main" id="{EDA09EE2-8ECA-4A8E-8A1D-73410687D854}"/>
            </a:ext>
          </a:extLst>
        </xdr:cNvPr>
        <xdr:cNvPicPr>
          <a:picLocks/>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425960" y="131885"/>
          <a:ext cx="1054800" cy="46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76206</xdr:colOff>
      <xdr:row>0</xdr:row>
      <xdr:rowOff>29310</xdr:rowOff>
    </xdr:from>
    <xdr:to>
      <xdr:col>0</xdr:col>
      <xdr:colOff>292206</xdr:colOff>
      <xdr:row>1</xdr:row>
      <xdr:rowOff>16710</xdr:rowOff>
    </xdr:to>
    <xdr:pic>
      <xdr:nvPicPr>
        <xdr:cNvPr id="4" name="Grafik 3" descr="Start mit einfarbiger Füllung">
          <a:hlinkClick xmlns:r="http://schemas.openxmlformats.org/officeDocument/2006/relationships" r:id="rId1"/>
          <a:extLst>
            <a:ext uri="{FF2B5EF4-FFF2-40B4-BE49-F238E27FC236}">
              <a16:creationId xmlns:a16="http://schemas.microsoft.com/office/drawing/2014/main" id="{EEAC933B-9716-4596-9E0F-1669FC86950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6206" y="29310"/>
          <a:ext cx="216000" cy="216000"/>
        </a:xfrm>
        <a:prstGeom prst="rect">
          <a:avLst/>
        </a:prstGeom>
      </xdr:spPr>
    </xdr:pic>
    <xdr:clientData/>
  </xdr:twoCellAnchor>
  <xdr:twoCellAnchor>
    <xdr:from>
      <xdr:col>3</xdr:col>
      <xdr:colOff>145774</xdr:colOff>
      <xdr:row>9</xdr:row>
      <xdr:rowOff>30227</xdr:rowOff>
    </xdr:from>
    <xdr:to>
      <xdr:col>3</xdr:col>
      <xdr:colOff>439908</xdr:colOff>
      <xdr:row>13</xdr:row>
      <xdr:rowOff>225292</xdr:rowOff>
    </xdr:to>
    <xdr:sp macro="" textlink="">
      <xdr:nvSpPr>
        <xdr:cNvPr id="5" name="Gleichschenkliges Dreieck 4">
          <a:extLst>
            <a:ext uri="{FF2B5EF4-FFF2-40B4-BE49-F238E27FC236}">
              <a16:creationId xmlns:a16="http://schemas.microsoft.com/office/drawing/2014/main" id="{9FD983F0-6FB5-4C33-A207-122D408A57DA}"/>
            </a:ext>
          </a:extLst>
        </xdr:cNvPr>
        <xdr:cNvSpPr/>
      </xdr:nvSpPr>
      <xdr:spPr>
        <a:xfrm rot="5400000">
          <a:off x="1566908" y="1838801"/>
          <a:ext cx="1109465" cy="294134"/>
        </a:xfrm>
        <a:prstGeom prst="triangle">
          <a:avLst/>
        </a:prstGeom>
        <a:solidFill>
          <a:schemeClr val="bg2">
            <a:lumMod val="7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7</xdr:col>
      <xdr:colOff>157498</xdr:colOff>
      <xdr:row>9</xdr:row>
      <xdr:rowOff>36088</xdr:rowOff>
    </xdr:from>
    <xdr:to>
      <xdr:col>7</xdr:col>
      <xdr:colOff>451632</xdr:colOff>
      <xdr:row>14</xdr:row>
      <xdr:rowOff>2553</xdr:rowOff>
    </xdr:to>
    <xdr:sp macro="" textlink="">
      <xdr:nvSpPr>
        <xdr:cNvPr id="6" name="Gleichschenkliges Dreieck 5">
          <a:extLst>
            <a:ext uri="{FF2B5EF4-FFF2-40B4-BE49-F238E27FC236}">
              <a16:creationId xmlns:a16="http://schemas.microsoft.com/office/drawing/2014/main" id="{7A51A8B1-0D4A-4ED9-AAA9-5F6D374D17F2}"/>
            </a:ext>
          </a:extLst>
        </xdr:cNvPr>
        <xdr:cNvSpPr/>
      </xdr:nvSpPr>
      <xdr:spPr>
        <a:xfrm rot="5400000">
          <a:off x="4439063" y="1844662"/>
          <a:ext cx="1109465" cy="294134"/>
        </a:xfrm>
        <a:prstGeom prst="triangle">
          <a:avLst/>
        </a:prstGeom>
        <a:solidFill>
          <a:schemeClr val="bg2">
            <a:lumMod val="7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absolute">
    <xdr:from>
      <xdr:col>13</xdr:col>
      <xdr:colOff>710710</xdr:colOff>
      <xdr:row>0</xdr:row>
      <xdr:rowOff>131885</xdr:rowOff>
    </xdr:from>
    <xdr:to>
      <xdr:col>14</xdr:col>
      <xdr:colOff>1025491</xdr:colOff>
      <xdr:row>2</xdr:row>
      <xdr:rowOff>145616</xdr:rowOff>
    </xdr:to>
    <xdr:pic>
      <xdr:nvPicPr>
        <xdr:cNvPr id="2" name="Grafik 1">
          <a:extLst>
            <a:ext uri="{FF2B5EF4-FFF2-40B4-BE49-F238E27FC236}">
              <a16:creationId xmlns:a16="http://schemas.microsoft.com/office/drawing/2014/main" id="{4CD4837A-AA2D-44BC-8C8B-F775F02B5423}"/>
            </a:ext>
          </a:extLst>
        </xdr:cNvPr>
        <xdr:cNvPicPr>
          <a:picLocks/>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425960" y="131885"/>
          <a:ext cx="1054800" cy="46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76201</xdr:colOff>
      <xdr:row>0</xdr:row>
      <xdr:rowOff>29310</xdr:rowOff>
    </xdr:from>
    <xdr:to>
      <xdr:col>0</xdr:col>
      <xdr:colOff>292201</xdr:colOff>
      <xdr:row>1</xdr:row>
      <xdr:rowOff>16710</xdr:rowOff>
    </xdr:to>
    <xdr:pic>
      <xdr:nvPicPr>
        <xdr:cNvPr id="11" name="Grafik 10" descr="Start mit einfarbiger Füllung">
          <a:hlinkClick xmlns:r="http://schemas.openxmlformats.org/officeDocument/2006/relationships" r:id="rId1"/>
          <a:extLst>
            <a:ext uri="{FF2B5EF4-FFF2-40B4-BE49-F238E27FC236}">
              <a16:creationId xmlns:a16="http://schemas.microsoft.com/office/drawing/2014/main" id="{F6F5D6B5-692E-4C2D-B9EF-398B32663C9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6201" y="29310"/>
          <a:ext cx="216000" cy="216000"/>
        </a:xfrm>
        <a:prstGeom prst="rect">
          <a:avLst/>
        </a:prstGeom>
      </xdr:spPr>
    </xdr:pic>
    <xdr:clientData/>
  </xdr:twoCellAnchor>
  <xdr:twoCellAnchor>
    <xdr:from>
      <xdr:col>5</xdr:col>
      <xdr:colOff>110929</xdr:colOff>
      <xdr:row>6</xdr:row>
      <xdr:rowOff>7326</xdr:rowOff>
    </xdr:from>
    <xdr:to>
      <xdr:col>15</xdr:col>
      <xdr:colOff>586153</xdr:colOff>
      <xdr:row>25</xdr:row>
      <xdr:rowOff>17584</xdr:rowOff>
    </xdr:to>
    <xdr:graphicFrame macro="">
      <xdr:nvGraphicFramePr>
        <xdr:cNvPr id="18" name="Diagramm 17">
          <a:extLst>
            <a:ext uri="{FF2B5EF4-FFF2-40B4-BE49-F238E27FC236}">
              <a16:creationId xmlns:a16="http://schemas.microsoft.com/office/drawing/2014/main" id="{84FC98AE-2A7E-4654-AAC4-745EC7CD39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159732</xdr:colOff>
      <xdr:row>6</xdr:row>
      <xdr:rowOff>21980</xdr:rowOff>
    </xdr:from>
    <xdr:to>
      <xdr:col>2</xdr:col>
      <xdr:colOff>453866</xdr:colOff>
      <xdr:row>10</xdr:row>
      <xdr:rowOff>879</xdr:rowOff>
    </xdr:to>
    <xdr:sp macro="" textlink="">
      <xdr:nvSpPr>
        <xdr:cNvPr id="2" name="Gleichschenkliges Dreieck 1">
          <a:extLst>
            <a:ext uri="{FF2B5EF4-FFF2-40B4-BE49-F238E27FC236}">
              <a16:creationId xmlns:a16="http://schemas.microsoft.com/office/drawing/2014/main" id="{4639251F-A1A6-4107-916C-787FEEBA35F0}"/>
            </a:ext>
          </a:extLst>
        </xdr:cNvPr>
        <xdr:cNvSpPr/>
      </xdr:nvSpPr>
      <xdr:spPr>
        <a:xfrm rot="5400000">
          <a:off x="1149688" y="1194932"/>
          <a:ext cx="752622" cy="294134"/>
        </a:xfrm>
        <a:prstGeom prst="triangle">
          <a:avLst/>
        </a:prstGeom>
        <a:solidFill>
          <a:schemeClr val="bg2">
            <a:lumMod val="7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absolute">
    <xdr:from>
      <xdr:col>14</xdr:col>
      <xdr:colOff>117231</xdr:colOff>
      <xdr:row>0</xdr:row>
      <xdr:rowOff>131885</xdr:rowOff>
    </xdr:from>
    <xdr:to>
      <xdr:col>15</xdr:col>
      <xdr:colOff>578550</xdr:colOff>
      <xdr:row>2</xdr:row>
      <xdr:rowOff>145616</xdr:rowOff>
    </xdr:to>
    <xdr:pic>
      <xdr:nvPicPr>
        <xdr:cNvPr id="3" name="Grafik 2">
          <a:extLst>
            <a:ext uri="{FF2B5EF4-FFF2-40B4-BE49-F238E27FC236}">
              <a16:creationId xmlns:a16="http://schemas.microsoft.com/office/drawing/2014/main" id="{AEC9C597-6C54-4620-AB47-3EE3D59A9E4D}"/>
            </a:ext>
          </a:extLst>
        </xdr:cNvPr>
        <xdr:cNvPicPr>
          <a:picLocks/>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425962" y="131885"/>
          <a:ext cx="1054800" cy="46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73269</xdr:colOff>
      <xdr:row>65</xdr:row>
      <xdr:rowOff>46966</xdr:rowOff>
    </xdr:from>
    <xdr:to>
      <xdr:col>5</xdr:col>
      <xdr:colOff>264900</xdr:colOff>
      <xdr:row>79</xdr:row>
      <xdr:rowOff>20296</xdr:rowOff>
    </xdr:to>
    <xdr:graphicFrame macro="">
      <xdr:nvGraphicFramePr>
        <xdr:cNvPr id="15" name="Diagramm 14">
          <a:extLst>
            <a:ext uri="{FF2B5EF4-FFF2-40B4-BE49-F238E27FC236}">
              <a16:creationId xmlns:a16="http://schemas.microsoft.com/office/drawing/2014/main" id="{768E18F9-AAB5-1E5F-5C0E-83415B19F2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576483</xdr:colOff>
      <xdr:row>65</xdr:row>
      <xdr:rowOff>46966</xdr:rowOff>
    </xdr:from>
    <xdr:to>
      <xdr:col>10</xdr:col>
      <xdr:colOff>321800</xdr:colOff>
      <xdr:row>79</xdr:row>
      <xdr:rowOff>20296</xdr:rowOff>
    </xdr:to>
    <xdr:graphicFrame macro="">
      <xdr:nvGraphicFramePr>
        <xdr:cNvPr id="18" name="Diagramm 17">
          <a:extLst>
            <a:ext uri="{FF2B5EF4-FFF2-40B4-BE49-F238E27FC236}">
              <a16:creationId xmlns:a16="http://schemas.microsoft.com/office/drawing/2014/main" id="{8AAAC67A-4BE8-4013-A370-0591F417DD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14</xdr:col>
      <xdr:colOff>378323</xdr:colOff>
      <xdr:row>0</xdr:row>
      <xdr:rowOff>73905</xdr:rowOff>
    </xdr:from>
    <xdr:to>
      <xdr:col>15</xdr:col>
      <xdr:colOff>671435</xdr:colOff>
      <xdr:row>2</xdr:row>
      <xdr:rowOff>170491</xdr:rowOff>
    </xdr:to>
    <xdr:pic>
      <xdr:nvPicPr>
        <xdr:cNvPr id="7" name="Grafik 6">
          <a:extLst>
            <a:ext uri="{FF2B5EF4-FFF2-40B4-BE49-F238E27FC236}">
              <a16:creationId xmlns:a16="http://schemas.microsoft.com/office/drawing/2014/main" id="{AF5CD105-6CDD-41E5-ADB9-D88D25B158B0}"/>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2020804" y="73905"/>
          <a:ext cx="1055112" cy="477586"/>
        </a:xfrm>
        <a:prstGeom prst="rect">
          <a:avLst/>
        </a:prstGeom>
      </xdr:spPr>
    </xdr:pic>
    <xdr:clientData/>
  </xdr:twoCellAnchor>
  <xdr:twoCellAnchor>
    <xdr:from>
      <xdr:col>7</xdr:col>
      <xdr:colOff>190500</xdr:colOff>
      <xdr:row>193</xdr:row>
      <xdr:rowOff>80596</xdr:rowOff>
    </xdr:from>
    <xdr:to>
      <xdr:col>9</xdr:col>
      <xdr:colOff>640663</xdr:colOff>
      <xdr:row>196</xdr:row>
      <xdr:rowOff>99728</xdr:rowOff>
    </xdr:to>
    <xdr:pic>
      <xdr:nvPicPr>
        <xdr:cNvPr id="10" name="Grafik 9">
          <a:extLst>
            <a:ext uri="{FF2B5EF4-FFF2-40B4-BE49-F238E27FC236}">
              <a16:creationId xmlns:a16="http://schemas.microsoft.com/office/drawing/2014/main" id="{25BCCB01-A40C-854D-02B3-89D9889FCB59}"/>
            </a:ext>
          </a:extLst>
        </xdr:cNvPr>
        <xdr:cNvPicPr>
          <a:picLocks noChangeAspect="1"/>
        </xdr:cNvPicPr>
      </xdr:nvPicPr>
      <xdr:blipFill>
        <a:blip xmlns:r="http://schemas.openxmlformats.org/officeDocument/2006/relationships" r:embed="rId4"/>
        <a:stretch>
          <a:fillRect/>
        </a:stretch>
      </xdr:blipFill>
      <xdr:spPr>
        <a:xfrm>
          <a:off x="5927481" y="22515634"/>
          <a:ext cx="2076740" cy="590632"/>
        </a:xfrm>
        <a:prstGeom prst="rect">
          <a:avLst/>
        </a:prstGeom>
      </xdr:spPr>
    </xdr:pic>
    <xdr:clientData/>
  </xdr:twoCellAnchor>
  <xdr:twoCellAnchor editAs="oneCell">
    <xdr:from>
      <xdr:col>25</xdr:col>
      <xdr:colOff>359019</xdr:colOff>
      <xdr:row>246</xdr:row>
      <xdr:rowOff>58615</xdr:rowOff>
    </xdr:from>
    <xdr:to>
      <xdr:col>35</xdr:col>
      <xdr:colOff>232422</xdr:colOff>
      <xdr:row>256</xdr:row>
      <xdr:rowOff>130124</xdr:rowOff>
    </xdr:to>
    <xdr:pic>
      <xdr:nvPicPr>
        <xdr:cNvPr id="11" name="Grafik 10">
          <a:extLst>
            <a:ext uri="{FF2B5EF4-FFF2-40B4-BE49-F238E27FC236}">
              <a16:creationId xmlns:a16="http://schemas.microsoft.com/office/drawing/2014/main" id="{18E69C62-5914-4EC4-B6DE-D95A4C8A55D2}"/>
            </a:ext>
          </a:extLst>
        </xdr:cNvPr>
        <xdr:cNvPicPr>
          <a:picLocks noChangeAspect="1"/>
        </xdr:cNvPicPr>
      </xdr:nvPicPr>
      <xdr:blipFill>
        <a:blip xmlns:r="http://schemas.openxmlformats.org/officeDocument/2006/relationships" r:embed="rId5"/>
        <a:stretch>
          <a:fillRect/>
        </a:stretch>
      </xdr:blipFill>
      <xdr:spPr>
        <a:xfrm>
          <a:off x="20405481" y="6022730"/>
          <a:ext cx="7493403" cy="1976509"/>
        </a:xfrm>
        <a:prstGeom prst="rect">
          <a:avLst/>
        </a:prstGeom>
      </xdr:spPr>
    </xdr:pic>
    <xdr:clientData/>
  </xdr:twoCellAnchor>
  <xdr:twoCellAnchor>
    <xdr:from>
      <xdr:col>12</xdr:col>
      <xdr:colOff>509587</xdr:colOff>
      <xdr:row>349</xdr:row>
      <xdr:rowOff>85725</xdr:rowOff>
    </xdr:from>
    <xdr:to>
      <xdr:col>18</xdr:col>
      <xdr:colOff>328612</xdr:colOff>
      <xdr:row>363</xdr:row>
      <xdr:rowOff>161925</xdr:rowOff>
    </xdr:to>
    <xdr:graphicFrame macro="">
      <xdr:nvGraphicFramePr>
        <xdr:cNvPr id="2" name="Diagramm 1">
          <a:extLst>
            <a:ext uri="{FF2B5EF4-FFF2-40B4-BE49-F238E27FC236}">
              <a16:creationId xmlns:a16="http://schemas.microsoft.com/office/drawing/2014/main" id="{CAC11554-F76A-A7B8-F943-CC9A61A631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E5B8C-C676-47C2-9D48-ED378CA6828E}">
  <sheetPr codeName="Tabelle1">
    <tabColor theme="1" tint="0.14999847407452621"/>
    <outlinePr summaryBelow="0" summaryRight="0"/>
  </sheetPr>
  <dimension ref="A1:G26"/>
  <sheetViews>
    <sheetView showGridLines="0" showRowColHeaders="0" tabSelected="1" zoomScale="120" zoomScaleNormal="120" workbookViewId="0">
      <selection sqref="A1:C3"/>
    </sheetView>
    <sheetView showGridLines="0" tabSelected="1" zoomScale="120" zoomScaleNormal="120" workbookViewId="1">
      <selection activeCell="B14" sqref="B14"/>
    </sheetView>
  </sheetViews>
  <sheetFormatPr baseColWidth="10" defaultColWidth="11.5703125" defaultRowHeight="15" x14ac:dyDescent="0.25"/>
  <cols>
    <col min="1" max="1" width="8.85546875" style="1" customWidth="1"/>
    <col min="2" max="2" width="22.28515625" style="1" customWidth="1"/>
    <col min="3" max="3" width="111.7109375" style="1" customWidth="1"/>
    <col min="4" max="7" width="8.85546875" style="1" customWidth="1"/>
    <col min="8" max="16384" width="11.5703125" style="1"/>
  </cols>
  <sheetData>
    <row r="1" spans="1:7" ht="18" customHeight="1" x14ac:dyDescent="0.25">
      <c r="A1" s="242" t="s">
        <v>170</v>
      </c>
      <c r="B1" s="243"/>
      <c r="C1" s="243"/>
    </row>
    <row r="2" spans="1:7" ht="18" customHeight="1" x14ac:dyDescent="0.25">
      <c r="A2" s="243"/>
      <c r="B2" s="243"/>
      <c r="C2" s="243"/>
    </row>
    <row r="3" spans="1:7" ht="18" customHeight="1" x14ac:dyDescent="0.25">
      <c r="A3" s="243"/>
      <c r="B3" s="243"/>
      <c r="C3" s="243"/>
    </row>
    <row r="4" spans="1:7" x14ac:dyDescent="0.25">
      <c r="A4" s="226" t="s">
        <v>171</v>
      </c>
      <c r="B4" s="226"/>
      <c r="C4" s="226"/>
    </row>
    <row r="5" spans="1:7" ht="7.9" customHeight="1" x14ac:dyDescent="0.25">
      <c r="A5" s="2"/>
      <c r="B5" s="2"/>
      <c r="C5" s="2"/>
    </row>
    <row r="6" spans="1:7" ht="32.25" customHeight="1" x14ac:dyDescent="0.25">
      <c r="A6" s="11"/>
      <c r="B6" s="24" t="s">
        <v>14</v>
      </c>
      <c r="C6" s="135" t="s">
        <v>162</v>
      </c>
    </row>
    <row r="7" spans="1:7" ht="43.15" customHeight="1" x14ac:dyDescent="0.25">
      <c r="A7" s="12"/>
      <c r="B7" s="12"/>
      <c r="C7" s="135"/>
      <c r="E7" s="33"/>
      <c r="F7" s="25"/>
      <c r="G7" s="25"/>
    </row>
    <row r="8" spans="1:7" ht="9" customHeight="1" x14ac:dyDescent="0.25">
      <c r="A8" s="9"/>
      <c r="B8" s="9"/>
      <c r="C8" s="9"/>
    </row>
    <row r="9" spans="1:7" ht="33" customHeight="1" x14ac:dyDescent="0.25">
      <c r="A9" s="11"/>
      <c r="B9" s="24" t="s">
        <v>2</v>
      </c>
      <c r="C9" s="135" t="s">
        <v>163</v>
      </c>
    </row>
    <row r="10" spans="1:7" ht="33" customHeight="1" x14ac:dyDescent="0.25">
      <c r="A10" s="10"/>
      <c r="B10" s="244"/>
      <c r="C10" s="135"/>
    </row>
    <row r="11" spans="1:7" ht="33" customHeight="1" x14ac:dyDescent="0.25">
      <c r="A11" s="10"/>
      <c r="B11" s="244"/>
      <c r="C11" s="135"/>
    </row>
    <row r="12" spans="1:7" ht="13.5" customHeight="1" x14ac:dyDescent="0.25">
      <c r="A12" s="10"/>
      <c r="B12" s="244"/>
      <c r="C12" s="135"/>
    </row>
    <row r="13" spans="1:7" ht="9" customHeight="1" x14ac:dyDescent="0.25">
      <c r="A13" s="137"/>
      <c r="B13" s="137"/>
      <c r="C13" s="137"/>
    </row>
    <row r="14" spans="1:7" ht="33" customHeight="1" x14ac:dyDescent="0.25">
      <c r="A14" s="21"/>
      <c r="B14" s="23" t="s">
        <v>47</v>
      </c>
      <c r="C14" s="135" t="s">
        <v>164</v>
      </c>
    </row>
    <row r="15" spans="1:7" ht="20.25" customHeight="1" x14ac:dyDescent="0.25">
      <c r="A15" s="20"/>
      <c r="B15" s="20" t="s">
        <v>46</v>
      </c>
      <c r="C15" s="135"/>
    </row>
    <row r="16" spans="1:7" ht="9" customHeight="1" x14ac:dyDescent="0.25">
      <c r="A16" s="19"/>
      <c r="B16" s="19"/>
      <c r="C16" s="19"/>
    </row>
    <row r="17" spans="1:3" ht="33" customHeight="1" x14ac:dyDescent="0.25">
      <c r="A17" s="21"/>
      <c r="B17" s="23" t="s">
        <v>166</v>
      </c>
      <c r="C17" s="135" t="s">
        <v>167</v>
      </c>
    </row>
    <row r="18" spans="1:3" ht="45" customHeight="1" x14ac:dyDescent="0.25">
      <c r="A18" s="20"/>
      <c r="B18" s="20" t="s">
        <v>46</v>
      </c>
      <c r="C18" s="135"/>
    </row>
    <row r="19" spans="1:3" ht="18" customHeight="1" x14ac:dyDescent="0.25">
      <c r="A19" s="245"/>
      <c r="B19" s="245"/>
      <c r="C19" s="246"/>
    </row>
    <row r="20" spans="1:3" ht="18" customHeight="1" x14ac:dyDescent="0.25">
      <c r="A20" s="245"/>
      <c r="B20" s="245"/>
      <c r="C20" s="246"/>
    </row>
    <row r="21" spans="1:3" ht="18" customHeight="1" x14ac:dyDescent="0.25">
      <c r="A21" s="245"/>
      <c r="B21" s="245"/>
      <c r="C21" s="246"/>
    </row>
    <row r="22" spans="1:3" ht="18" customHeight="1" x14ac:dyDescent="0.25">
      <c r="A22" s="245"/>
      <c r="B22" s="245"/>
      <c r="C22" s="246"/>
    </row>
    <row r="23" spans="1:3" ht="18" customHeight="1" x14ac:dyDescent="0.25">
      <c r="A23" s="245"/>
      <c r="B23" s="245"/>
      <c r="C23" s="246"/>
    </row>
    <row r="24" spans="1:3" ht="18" customHeight="1" x14ac:dyDescent="0.25">
      <c r="A24" s="245"/>
      <c r="B24" s="245"/>
      <c r="C24" s="246"/>
    </row>
    <row r="25" spans="1:3" ht="18" customHeight="1" x14ac:dyDescent="0.25">
      <c r="A25" s="245"/>
      <c r="B25" s="245"/>
      <c r="C25" s="246"/>
    </row>
    <row r="26" spans="1:3" ht="18" customHeight="1" x14ac:dyDescent="0.25">
      <c r="A26" s="245"/>
      <c r="B26" s="245"/>
      <c r="C26" s="246"/>
    </row>
  </sheetData>
  <sheetProtection algorithmName="SHA-512" hashValue="qTDvAIjcadOInDYVCYKRazucaIPyBRTIvdNHpRCmO6KWs53JVCk5KjVUGmYeiJFbbyEYKaIVOJOhf2AUy3Q0cQ==" saltValue="kqzCPudl8/abQ5KPzLJx9Q==" spinCount="100000" sheet="1" objects="1" formatRows="0" selectLockedCells="1"/>
  <mergeCells count="15">
    <mergeCell ref="A1:C3"/>
    <mergeCell ref="C6:C7"/>
    <mergeCell ref="C9:C12"/>
    <mergeCell ref="A19:B19"/>
    <mergeCell ref="A4:C4"/>
    <mergeCell ref="A13:C13"/>
    <mergeCell ref="C14:C15"/>
    <mergeCell ref="C17:C18"/>
    <mergeCell ref="A24:B24"/>
    <mergeCell ref="A25:B25"/>
    <mergeCell ref="A26:B26"/>
    <mergeCell ref="A20:B20"/>
    <mergeCell ref="A21:B21"/>
    <mergeCell ref="A22:B22"/>
    <mergeCell ref="A23:B23"/>
  </mergeCells>
  <hyperlinks>
    <hyperlink ref="B6" location="Conversion!A1" display="Conversion" xr:uid="{18BC3AA2-E265-4C22-946F-4BDF18E0A9A9}"/>
    <hyperlink ref="B9" location="Calibration!A1" display="Calibration" xr:uid="{AEE7DAFD-A40C-4ADD-A4A9-AB856F6570CD}"/>
    <hyperlink ref="B14" location="'Soil Density Correction'!A1" display="Soil Density Correction" xr:uid="{6E153F62-928E-48C3-A68F-4D95A83E4D0E}"/>
    <hyperlink ref="B17" location="'Transform Material Calibration'!A1" display="'Transform Material Calibration'!A1" xr:uid="{AD561BB1-C94E-4AEF-9B56-1C3CF6628C3A}"/>
  </hyperlinks>
  <pageMargins left="0.19685039370078741" right="0.19685039370078741" top="0.74803149606299213" bottom="0.74803149606299213" header="0.31496062992125984" footer="0.31496062992125984"/>
  <pageSetup paperSize="9" orientation="landscape"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B810-354F-44F8-960A-47FF74B36F50}">
  <sheetPr codeName="Tabelle2">
    <tabColor rgb="FF007CAA"/>
    <outlinePr summaryBelow="0"/>
  </sheetPr>
  <dimension ref="A1:P30"/>
  <sheetViews>
    <sheetView showGridLines="0" showRowColHeaders="0" zoomScale="120" zoomScaleNormal="120" workbookViewId="0">
      <selection activeCell="E9" sqref="E9:G10"/>
      <extLst>
        <ext xmlns:xlsdti="http://schemas.microsoft.com/office/spreadsheetml/2023/showDataTypeIcons" uri="{77bfe23e-c014-4d31-8a63-9c772dbf06b6}">
          <xlsdti:showDataTypeIcons visible="0"/>
        </ext>
      </extLst>
    </sheetView>
    <sheetView showGridLines="0" showRowColHeaders="0" zoomScale="120" zoomScaleNormal="120" workbookViewId="1">
      <selection activeCell="A4" sqref="A4:P4"/>
    </sheetView>
  </sheetViews>
  <sheetFormatPr baseColWidth="10" defaultColWidth="11.5703125" defaultRowHeight="15" outlineLevelRow="1" x14ac:dyDescent="0.25"/>
  <cols>
    <col min="1" max="1" width="10" style="1" customWidth="1"/>
    <col min="2" max="11" width="8.85546875" style="1" customWidth="1"/>
    <col min="12" max="12" width="4.7109375" style="1" customWidth="1"/>
    <col min="13" max="13" width="13" style="1" customWidth="1"/>
    <col min="14" max="20" width="8.85546875" style="1" customWidth="1"/>
    <col min="21" max="16384" width="11.5703125" style="1"/>
  </cols>
  <sheetData>
    <row r="1" spans="1:16" ht="18" customHeight="1" x14ac:dyDescent="0.25">
      <c r="A1" s="134" t="s">
        <v>14</v>
      </c>
      <c r="B1" s="134"/>
      <c r="C1" s="134"/>
      <c r="D1" s="134"/>
      <c r="E1" s="134"/>
      <c r="F1" s="134"/>
      <c r="G1" s="134"/>
      <c r="H1" s="134"/>
      <c r="I1" s="134"/>
      <c r="J1" s="134"/>
      <c r="K1" s="134"/>
      <c r="L1" s="134"/>
      <c r="M1" s="134"/>
      <c r="N1" s="134"/>
      <c r="O1" s="134"/>
      <c r="P1" s="134"/>
    </row>
    <row r="2" spans="1:16" ht="18" customHeight="1" x14ac:dyDescent="0.25">
      <c r="A2" s="134"/>
      <c r="B2" s="134"/>
      <c r="C2" s="134"/>
      <c r="D2" s="134"/>
      <c r="E2" s="134"/>
      <c r="F2" s="134"/>
      <c r="G2" s="134"/>
      <c r="H2" s="134"/>
      <c r="I2" s="134"/>
      <c r="J2" s="134"/>
      <c r="K2" s="134"/>
      <c r="L2" s="134"/>
      <c r="M2" s="134"/>
      <c r="N2" s="134"/>
      <c r="O2" s="134"/>
      <c r="P2" s="134"/>
    </row>
    <row r="3" spans="1:16" ht="18" customHeight="1" x14ac:dyDescent="0.25">
      <c r="A3" s="134"/>
      <c r="B3" s="134"/>
      <c r="C3" s="134"/>
      <c r="D3" s="134"/>
      <c r="E3" s="134"/>
      <c r="F3" s="134"/>
      <c r="G3" s="134"/>
      <c r="H3" s="134"/>
      <c r="I3" s="134"/>
      <c r="J3" s="134"/>
      <c r="K3" s="134"/>
      <c r="L3" s="134"/>
      <c r="M3" s="134"/>
      <c r="N3" s="134"/>
      <c r="O3" s="134"/>
      <c r="P3" s="134"/>
    </row>
    <row r="4" spans="1:16" collapsed="1" x14ac:dyDescent="0.25">
      <c r="A4" s="136" t="s">
        <v>172</v>
      </c>
      <c r="B4" s="140"/>
      <c r="C4" s="140"/>
      <c r="D4" s="140"/>
      <c r="E4" s="140"/>
      <c r="F4" s="140"/>
      <c r="G4" s="140"/>
      <c r="H4" s="140"/>
      <c r="I4" s="140"/>
      <c r="J4" s="140"/>
      <c r="K4" s="140"/>
      <c r="L4" s="140"/>
      <c r="M4" s="140"/>
      <c r="N4" s="140"/>
      <c r="O4" s="140"/>
      <c r="P4" s="140"/>
    </row>
    <row r="5" spans="1:16" ht="115.9" hidden="1" customHeight="1" outlineLevel="1" x14ac:dyDescent="0.25">
      <c r="A5" s="138" t="s">
        <v>39</v>
      </c>
      <c r="B5" s="141"/>
      <c r="C5" s="141"/>
      <c r="D5" s="141"/>
      <c r="E5" s="141"/>
      <c r="F5" s="141"/>
      <c r="G5" s="141"/>
      <c r="H5" s="141"/>
      <c r="I5" s="141"/>
      <c r="J5" s="141"/>
      <c r="K5" s="141"/>
      <c r="L5" s="141"/>
      <c r="M5" s="141"/>
      <c r="N5" s="141"/>
      <c r="O5" s="141"/>
      <c r="P5" s="141"/>
    </row>
    <row r="6" spans="1:16" ht="6" customHeight="1" collapsed="1" x14ac:dyDescent="0.25">
      <c r="A6" s="2"/>
      <c r="B6" s="2"/>
      <c r="C6" s="2"/>
      <c r="D6" s="2"/>
      <c r="E6" s="2"/>
      <c r="F6" s="2"/>
      <c r="G6" s="2"/>
      <c r="H6" s="2"/>
      <c r="I6" s="2"/>
      <c r="J6" s="2"/>
      <c r="K6" s="2"/>
      <c r="L6" s="2"/>
      <c r="M6" s="2"/>
      <c r="N6" s="2"/>
      <c r="O6" s="2"/>
      <c r="P6" s="2"/>
    </row>
    <row r="7" spans="1:16" ht="18" customHeight="1" x14ac:dyDescent="0.25">
      <c r="A7" s="37"/>
      <c r="B7" s="38" t="s">
        <v>15</v>
      </c>
      <c r="C7" s="39"/>
      <c r="D7" s="9"/>
      <c r="E7" s="142" t="s">
        <v>19</v>
      </c>
      <c r="F7" s="142"/>
      <c r="G7" s="142"/>
      <c r="H7" s="2"/>
      <c r="I7" s="142" t="s">
        <v>20</v>
      </c>
      <c r="J7" s="142"/>
      <c r="K7" s="142"/>
      <c r="L7" s="17"/>
      <c r="M7" s="146" t="s">
        <v>38</v>
      </c>
      <c r="N7" s="146"/>
      <c r="O7" s="146"/>
      <c r="P7" s="146"/>
    </row>
    <row r="8" spans="1:16" ht="18" customHeight="1" x14ac:dyDescent="0.25">
      <c r="A8" s="228" t="s">
        <v>17</v>
      </c>
      <c r="B8" s="35">
        <v>1.4</v>
      </c>
      <c r="C8" s="227" t="s">
        <v>18</v>
      </c>
      <c r="D8" s="36"/>
      <c r="E8" s="143" t="s">
        <v>62</v>
      </c>
      <c r="F8" s="144"/>
      <c r="G8" s="145"/>
      <c r="H8" s="2"/>
      <c r="I8" s="143" t="s">
        <v>63</v>
      </c>
      <c r="J8" s="144"/>
      <c r="K8" s="145"/>
      <c r="L8" s="17"/>
      <c r="M8" s="15" t="s">
        <v>21</v>
      </c>
      <c r="N8" s="15"/>
      <c r="O8" s="16">
        <v>1.6</v>
      </c>
      <c r="P8" s="17" t="s">
        <v>37</v>
      </c>
    </row>
    <row r="9" spans="1:16" ht="18" customHeight="1" x14ac:dyDescent="0.25">
      <c r="A9" s="40" t="s">
        <v>16</v>
      </c>
      <c r="B9" s="10">
        <v>1</v>
      </c>
      <c r="C9" s="41" t="s">
        <v>18</v>
      </c>
      <c r="D9" s="3"/>
      <c r="E9" s="154">
        <v>5.0200000000000002E-2</v>
      </c>
      <c r="F9" s="155"/>
      <c r="G9" s="156"/>
      <c r="H9" s="2"/>
      <c r="I9" s="148">
        <f>Tools!C39</f>
        <v>3.6378920517131437E-2</v>
      </c>
      <c r="J9" s="149"/>
      <c r="K9" s="150"/>
      <c r="L9" s="17"/>
      <c r="M9" s="15" t="s">
        <v>22</v>
      </c>
      <c r="N9" s="15"/>
      <c r="O9" s="16">
        <v>1.4</v>
      </c>
      <c r="P9" s="17" t="s">
        <v>37</v>
      </c>
    </row>
    <row r="10" spans="1:16" ht="18" customHeight="1" x14ac:dyDescent="0.25">
      <c r="A10" s="42" t="s">
        <v>50</v>
      </c>
      <c r="B10" s="43">
        <f>B8/B9</f>
        <v>1.4</v>
      </c>
      <c r="C10" s="44" t="s">
        <v>51</v>
      </c>
      <c r="D10" s="3"/>
      <c r="E10" s="157"/>
      <c r="F10" s="158"/>
      <c r="G10" s="159"/>
      <c r="H10" s="2"/>
      <c r="I10" s="151"/>
      <c r="J10" s="152"/>
      <c r="K10" s="153"/>
      <c r="L10" s="17"/>
      <c r="M10" s="15" t="s">
        <v>24</v>
      </c>
      <c r="N10" s="15"/>
      <c r="O10" s="16">
        <v>1.35</v>
      </c>
      <c r="P10" s="17" t="s">
        <v>37</v>
      </c>
    </row>
    <row r="11" spans="1:16" ht="18" customHeight="1" x14ac:dyDescent="0.25">
      <c r="A11" s="3"/>
      <c r="B11" s="3"/>
      <c r="C11" s="8"/>
      <c r="D11" s="3"/>
      <c r="E11" s="3"/>
      <c r="F11" s="2"/>
      <c r="G11" s="2"/>
      <c r="H11" s="2"/>
      <c r="I11" s="15"/>
      <c r="J11" s="15"/>
      <c r="K11" s="16"/>
      <c r="L11" s="17"/>
      <c r="M11" s="15" t="s">
        <v>23</v>
      </c>
      <c r="N11" s="15"/>
      <c r="O11" s="16">
        <v>1.3</v>
      </c>
      <c r="P11" s="17" t="s">
        <v>37</v>
      </c>
    </row>
    <row r="12" spans="1:16" ht="18" customHeight="1" x14ac:dyDescent="0.25">
      <c r="A12" s="2"/>
      <c r="B12" s="2"/>
      <c r="C12" s="2"/>
      <c r="D12" s="2"/>
      <c r="E12" s="2"/>
      <c r="F12" s="2"/>
      <c r="G12" s="2"/>
      <c r="H12" s="2"/>
      <c r="I12" s="2"/>
      <c r="J12" s="2"/>
      <c r="K12" s="2"/>
      <c r="L12" s="17"/>
      <c r="M12" s="15" t="s">
        <v>25</v>
      </c>
      <c r="N12" s="15"/>
      <c r="O12" s="16">
        <v>0.2</v>
      </c>
      <c r="P12" s="17" t="s">
        <v>37</v>
      </c>
    </row>
    <row r="13" spans="1:16" ht="18" customHeight="1" x14ac:dyDescent="0.25">
      <c r="A13" s="2"/>
      <c r="B13" s="2"/>
      <c r="C13" s="2"/>
      <c r="D13" s="2"/>
      <c r="E13" s="2"/>
      <c r="F13" s="2"/>
      <c r="G13" s="2"/>
      <c r="H13" s="2"/>
      <c r="I13" s="2"/>
      <c r="J13" s="2"/>
      <c r="K13" s="2"/>
      <c r="L13" s="17"/>
      <c r="M13" s="15" t="s">
        <v>26</v>
      </c>
      <c r="N13" s="15"/>
      <c r="O13" s="16">
        <v>0.3</v>
      </c>
      <c r="P13" s="17" t="s">
        <v>37</v>
      </c>
    </row>
    <row r="14" spans="1:16" ht="18" customHeight="1" x14ac:dyDescent="0.25">
      <c r="A14" s="2"/>
      <c r="B14" s="2"/>
      <c r="C14" s="2"/>
      <c r="D14" s="2"/>
      <c r="E14" s="2"/>
      <c r="F14" s="2"/>
      <c r="G14" s="2"/>
      <c r="H14" s="2"/>
      <c r="I14" s="2"/>
      <c r="J14" s="2"/>
      <c r="K14" s="2"/>
      <c r="L14" s="18"/>
      <c r="M14" s="15" t="s">
        <v>27</v>
      </c>
      <c r="N14" s="18"/>
      <c r="O14" s="16">
        <v>0.3</v>
      </c>
      <c r="P14" s="17" t="s">
        <v>37</v>
      </c>
    </row>
    <row r="15" spans="1:16" ht="18" customHeight="1" x14ac:dyDescent="0.25">
      <c r="A15" s="2"/>
      <c r="B15" s="2"/>
      <c r="C15" s="2"/>
      <c r="D15" s="2"/>
      <c r="E15" s="2"/>
      <c r="F15" s="2"/>
      <c r="G15" s="2"/>
      <c r="H15" s="2"/>
      <c r="I15" s="2"/>
      <c r="J15" s="2"/>
      <c r="K15" s="2"/>
      <c r="L15" s="18"/>
      <c r="M15" s="15" t="s">
        <v>28</v>
      </c>
      <c r="N15" s="18"/>
      <c r="O15" s="16">
        <v>0.75</v>
      </c>
      <c r="P15" s="17" t="s">
        <v>37</v>
      </c>
    </row>
    <row r="16" spans="1:16" ht="18" customHeight="1" x14ac:dyDescent="0.25">
      <c r="A16" s="2"/>
      <c r="B16" s="2"/>
      <c r="C16" s="2"/>
      <c r="D16" s="2"/>
      <c r="E16" s="2"/>
      <c r="F16" s="2"/>
      <c r="G16" s="2"/>
      <c r="H16" s="2"/>
      <c r="I16" s="2"/>
      <c r="J16" s="2"/>
      <c r="K16" s="2"/>
      <c r="L16" s="18"/>
      <c r="M16" s="15" t="s">
        <v>29</v>
      </c>
      <c r="N16" s="18"/>
      <c r="O16" s="16">
        <v>0.72</v>
      </c>
      <c r="P16" s="17" t="s">
        <v>37</v>
      </c>
    </row>
    <row r="17" spans="1:16" ht="18" customHeight="1" x14ac:dyDescent="0.25">
      <c r="A17" s="2"/>
      <c r="B17" s="2"/>
      <c r="C17" s="2"/>
      <c r="D17" s="2"/>
      <c r="E17" s="2"/>
      <c r="F17" s="2"/>
      <c r="G17" s="2"/>
      <c r="H17" s="2"/>
      <c r="I17" s="2"/>
      <c r="J17" s="2"/>
      <c r="K17" s="2"/>
      <c r="L17" s="18"/>
      <c r="M17" s="15"/>
      <c r="N17" s="2"/>
      <c r="O17" s="2"/>
      <c r="P17" s="2"/>
    </row>
    <row r="18" spans="1:16" ht="18" customHeight="1" x14ac:dyDescent="0.25">
      <c r="A18" s="2"/>
      <c r="B18" s="2"/>
      <c r="C18" s="2"/>
      <c r="D18" s="2"/>
      <c r="E18" s="2"/>
      <c r="F18" s="2"/>
      <c r="G18" s="2"/>
      <c r="H18" s="2"/>
      <c r="I18" s="2"/>
      <c r="J18" s="2"/>
      <c r="K18" s="2"/>
      <c r="L18" s="2"/>
      <c r="M18" s="15"/>
      <c r="N18" s="2"/>
      <c r="O18" s="2"/>
      <c r="P18" s="2"/>
    </row>
    <row r="19" spans="1:16" ht="18" customHeight="1" x14ac:dyDescent="0.25">
      <c r="A19" s="17"/>
      <c r="B19" s="18"/>
      <c r="C19" s="18"/>
      <c r="D19" s="18"/>
      <c r="E19" s="18"/>
      <c r="F19" s="15"/>
      <c r="G19" s="15"/>
      <c r="H19" s="16"/>
      <c r="I19" s="17"/>
      <c r="J19" s="2"/>
      <c r="K19" s="2"/>
      <c r="L19" s="2"/>
      <c r="M19" s="2"/>
      <c r="N19" s="2"/>
      <c r="O19" s="2"/>
      <c r="P19" s="2"/>
    </row>
    <row r="20" spans="1:16" ht="18" customHeight="1" x14ac:dyDescent="0.25">
      <c r="A20" s="139"/>
      <c r="B20" s="139"/>
      <c r="C20" s="160"/>
      <c r="D20" s="160"/>
      <c r="E20" s="3"/>
      <c r="F20" s="139"/>
      <c r="G20" s="139"/>
      <c r="H20" s="160"/>
      <c r="I20" s="160"/>
      <c r="J20" s="2"/>
      <c r="K20" s="2"/>
      <c r="L20" s="2"/>
      <c r="M20" s="2"/>
      <c r="N20" s="2"/>
      <c r="O20" s="2"/>
      <c r="P20" s="2"/>
    </row>
    <row r="21" spans="1:16" ht="18" customHeight="1" x14ac:dyDescent="0.25">
      <c r="A21" s="2"/>
      <c r="B21" s="2"/>
      <c r="C21" s="2"/>
      <c r="D21" s="2"/>
      <c r="E21" s="3"/>
      <c r="F21" s="2"/>
      <c r="G21" s="2"/>
      <c r="H21" s="2"/>
      <c r="I21" s="2"/>
      <c r="J21" s="2"/>
      <c r="K21" s="2"/>
      <c r="L21" s="2"/>
      <c r="M21" s="2"/>
      <c r="N21" s="2"/>
      <c r="O21" s="2"/>
      <c r="P21" s="2"/>
    </row>
    <row r="22" spans="1:16" ht="18" customHeight="1" x14ac:dyDescent="0.25">
      <c r="A22" s="30"/>
      <c r="B22" s="147" t="s">
        <v>57</v>
      </c>
      <c r="C22" s="147"/>
      <c r="D22" s="147"/>
      <c r="E22" s="147"/>
      <c r="F22" s="147"/>
      <c r="G22" s="147"/>
      <c r="H22" s="147"/>
      <c r="I22" s="147"/>
      <c r="J22" s="2"/>
      <c r="K22" s="2"/>
      <c r="L22" s="2"/>
      <c r="M22" s="2"/>
      <c r="N22" s="2"/>
      <c r="O22" s="2"/>
      <c r="P22" s="2"/>
    </row>
    <row r="23" spans="1:16" ht="18" customHeight="1" x14ac:dyDescent="0.25">
      <c r="A23" s="31" t="s">
        <v>52</v>
      </c>
      <c r="B23" s="146" t="s">
        <v>53</v>
      </c>
      <c r="C23" s="146"/>
      <c r="D23" s="146" t="s">
        <v>54</v>
      </c>
      <c r="E23" s="146"/>
      <c r="F23" s="146" t="s">
        <v>55</v>
      </c>
      <c r="G23" s="146"/>
      <c r="H23" s="146" t="s">
        <v>56</v>
      </c>
      <c r="I23" s="146"/>
      <c r="J23" s="2"/>
      <c r="K23" s="2"/>
      <c r="L23" s="2"/>
      <c r="M23" s="2"/>
      <c r="N23" s="2"/>
      <c r="O23" s="2"/>
      <c r="P23" s="2"/>
    </row>
    <row r="24" spans="1:16" ht="24" customHeight="1" x14ac:dyDescent="0.25">
      <c r="A24" s="30" t="s">
        <v>53</v>
      </c>
      <c r="B24" s="161"/>
      <c r="C24" s="161"/>
      <c r="D24" s="147"/>
      <c r="E24" s="147"/>
      <c r="F24" s="147"/>
      <c r="G24" s="147"/>
      <c r="H24" s="147"/>
      <c r="I24" s="147"/>
      <c r="J24" s="2"/>
      <c r="K24" s="2"/>
      <c r="L24" s="2"/>
      <c r="M24" s="2"/>
      <c r="N24" s="2"/>
      <c r="O24" s="2"/>
      <c r="P24" s="2"/>
    </row>
    <row r="25" spans="1:16" ht="24" customHeight="1" x14ac:dyDescent="0.25">
      <c r="A25" s="30" t="s">
        <v>54</v>
      </c>
      <c r="B25" s="147"/>
      <c r="C25" s="147"/>
      <c r="D25" s="161"/>
      <c r="E25" s="161"/>
      <c r="F25" s="147"/>
      <c r="G25" s="147"/>
      <c r="H25" s="147"/>
      <c r="I25" s="147"/>
      <c r="J25" s="2"/>
      <c r="K25" s="2"/>
      <c r="L25" s="2"/>
      <c r="M25" s="2"/>
      <c r="N25" s="2"/>
      <c r="O25" s="2"/>
      <c r="P25" s="2"/>
    </row>
    <row r="26" spans="1:16" ht="24" customHeight="1" x14ac:dyDescent="0.25">
      <c r="A26" s="30" t="s">
        <v>55</v>
      </c>
      <c r="B26" s="147"/>
      <c r="C26" s="147"/>
      <c r="D26" s="147"/>
      <c r="E26" s="147"/>
      <c r="F26" s="161"/>
      <c r="G26" s="161"/>
      <c r="H26" s="147"/>
      <c r="I26" s="147"/>
      <c r="J26" s="2"/>
      <c r="K26" s="2"/>
      <c r="L26" s="2"/>
      <c r="M26" s="2"/>
      <c r="N26" s="2"/>
      <c r="O26" s="2"/>
      <c r="P26" s="2"/>
    </row>
    <row r="27" spans="1:16" ht="24" customHeight="1" x14ac:dyDescent="0.25">
      <c r="A27" s="30" t="s">
        <v>56</v>
      </c>
      <c r="B27" s="147"/>
      <c r="C27" s="147"/>
      <c r="D27" s="147"/>
      <c r="E27" s="147"/>
      <c r="F27" s="147"/>
      <c r="G27" s="147"/>
      <c r="H27" s="161"/>
      <c r="I27" s="161"/>
      <c r="J27" s="2"/>
      <c r="K27" s="2"/>
      <c r="L27" s="2"/>
      <c r="M27" s="2"/>
      <c r="N27" s="2"/>
      <c r="O27" s="2"/>
      <c r="P27" s="2"/>
    </row>
    <row r="28" spans="1:16" ht="24" customHeight="1" x14ac:dyDescent="0.25">
      <c r="A28" s="2"/>
      <c r="B28" s="147"/>
      <c r="C28" s="147"/>
      <c r="D28" s="147"/>
      <c r="E28" s="147"/>
      <c r="F28" s="147"/>
      <c r="G28" s="147"/>
      <c r="H28" s="147"/>
      <c r="I28" s="147"/>
      <c r="J28" s="2"/>
      <c r="K28" s="2"/>
      <c r="L28" s="2"/>
      <c r="M28" s="2"/>
      <c r="N28" s="2"/>
      <c r="O28" s="2"/>
      <c r="P28" s="2"/>
    </row>
    <row r="29" spans="1:16" ht="18" customHeight="1" x14ac:dyDescent="0.25">
      <c r="B29" s="162"/>
      <c r="C29" s="162"/>
      <c r="D29" s="162"/>
      <c r="E29" s="162"/>
      <c r="F29" s="162"/>
      <c r="G29" s="162"/>
      <c r="H29" s="162"/>
      <c r="I29" s="162"/>
    </row>
    <row r="30" spans="1:16" ht="18" customHeight="1" x14ac:dyDescent="0.25">
      <c r="B30" s="162"/>
      <c r="C30" s="162"/>
      <c r="D30" s="162"/>
      <c r="E30" s="162"/>
      <c r="F30" s="162"/>
      <c r="G30" s="162"/>
      <c r="H30" s="162"/>
      <c r="I30" s="162"/>
    </row>
  </sheetData>
  <sheetProtection algorithmName="SHA-512" hashValue="+MhBH60VzO9s6qQLnETmtZWak3rN058n9y45MLL0ZlZxQqZYcJnWeLyAgwEC89fRJ3d8K+amrix2U5R39k6bjQ==" saltValue="mhxa9n+XGKS9bGHTWvmsiA==" spinCount="100000" sheet="1" objects="1" formatRows="0" selectLockedCells="1"/>
  <mergeCells count="47">
    <mergeCell ref="B25:C25"/>
    <mergeCell ref="D25:E25"/>
    <mergeCell ref="F25:G25"/>
    <mergeCell ref="H25:I25"/>
    <mergeCell ref="B26:C26"/>
    <mergeCell ref="D26:E26"/>
    <mergeCell ref="F26:G26"/>
    <mergeCell ref="H26:I26"/>
    <mergeCell ref="B30:C30"/>
    <mergeCell ref="D30:E30"/>
    <mergeCell ref="F30:G30"/>
    <mergeCell ref="H30:I30"/>
    <mergeCell ref="B27:C27"/>
    <mergeCell ref="D27:E27"/>
    <mergeCell ref="F27:G27"/>
    <mergeCell ref="H27:I27"/>
    <mergeCell ref="B28:C28"/>
    <mergeCell ref="D28:E28"/>
    <mergeCell ref="F28:G28"/>
    <mergeCell ref="H28:I28"/>
    <mergeCell ref="B29:C29"/>
    <mergeCell ref="D29:E29"/>
    <mergeCell ref="F29:G29"/>
    <mergeCell ref="H29:I29"/>
    <mergeCell ref="D24:E24"/>
    <mergeCell ref="F24:G24"/>
    <mergeCell ref="H24:I24"/>
    <mergeCell ref="I7:K7"/>
    <mergeCell ref="I8:K8"/>
    <mergeCell ref="I9:K10"/>
    <mergeCell ref="E9:G10"/>
    <mergeCell ref="H20:I20"/>
    <mergeCell ref="B22:I22"/>
    <mergeCell ref="F23:G23"/>
    <mergeCell ref="H23:I23"/>
    <mergeCell ref="B24:C24"/>
    <mergeCell ref="B23:C23"/>
    <mergeCell ref="D23:E23"/>
    <mergeCell ref="A20:B20"/>
    <mergeCell ref="C20:D20"/>
    <mergeCell ref="F20:G20"/>
    <mergeCell ref="A1:P3"/>
    <mergeCell ref="A4:P4"/>
    <mergeCell ref="A5:P5"/>
    <mergeCell ref="E7:G7"/>
    <mergeCell ref="E8:G8"/>
    <mergeCell ref="M7:P7"/>
  </mergeCells>
  <conditionalFormatting sqref="D8:D11 E11 E20">
    <cfRule type="expression" dxfId="4" priority="4">
      <formula>OR($B8="",$C8="")</formula>
    </cfRule>
  </conditionalFormatting>
  <conditionalFormatting sqref="E21">
    <cfRule type="expression" dxfId="3" priority="16">
      <formula>OR($J7="",$K7="")</formula>
    </cfRule>
  </conditionalFormatting>
  <dataValidations count="1">
    <dataValidation type="list" allowBlank="1" showInputMessage="1" showErrorMessage="1" sqref="E8:G8 I8:K8" xr:uid="{59CBE947-A3C8-46CB-AE38-EC0487FB6441}">
      <formula1>"Volumetric (Total),Volumetric (Dry),Gravimetric (Total),Gravimetric (Dry)"</formula1>
    </dataValidation>
  </dataValidations>
  <pageMargins left="0.19685039370078741" right="0.19685039370078741" top="0.74803149606299213" bottom="0.74803149606299213" header="0.31496062992125984" footer="0.31496062992125984"/>
  <pageSetup paperSize="9" orientation="landscape"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18E3-E7AA-4958-9A66-6AAB3BBE56A8}">
  <sheetPr codeName="Tabelle3">
    <tabColor rgb="FF007CAA"/>
    <outlinePr summaryBelow="0"/>
  </sheetPr>
  <dimension ref="A1:Q30"/>
  <sheetViews>
    <sheetView showGridLines="0" showRowColHeaders="0" zoomScale="120" zoomScaleNormal="120" workbookViewId="0">
      <selection activeCell="F8" sqref="F8"/>
    </sheetView>
    <sheetView showGridLines="0" showRowColHeaders="0" zoomScale="120" zoomScaleNormal="120" workbookViewId="1">
      <selection activeCell="C27" sqref="C27"/>
    </sheetView>
  </sheetViews>
  <sheetFormatPr baseColWidth="10" defaultColWidth="11.5703125" defaultRowHeight="15" outlineLevelRow="1" x14ac:dyDescent="0.25"/>
  <cols>
    <col min="1" max="4" width="8.85546875" style="1" customWidth="1"/>
    <col min="5" max="5" width="5" style="1" customWidth="1"/>
    <col min="6" max="6" width="18.85546875" style="1" customWidth="1"/>
    <col min="7" max="13" width="8.85546875" style="1" customWidth="1"/>
    <col min="14" max="14" width="11.140625" style="1" customWidth="1"/>
    <col min="15" max="15" width="10.42578125" style="1" customWidth="1"/>
    <col min="16" max="19" width="8.85546875" style="1" customWidth="1"/>
    <col min="20" max="16384" width="11.5703125" style="1"/>
  </cols>
  <sheetData>
    <row r="1" spans="1:17" ht="18" customHeight="1" x14ac:dyDescent="0.25">
      <c r="A1" s="134" t="s">
        <v>2</v>
      </c>
      <c r="B1" s="134"/>
      <c r="C1" s="134"/>
      <c r="D1" s="134"/>
      <c r="E1" s="134"/>
      <c r="F1" s="134"/>
      <c r="G1" s="134"/>
      <c r="H1" s="134"/>
      <c r="I1" s="134"/>
      <c r="J1" s="134"/>
      <c r="K1" s="134"/>
      <c r="L1" s="134"/>
      <c r="M1" s="134"/>
      <c r="N1" s="134"/>
      <c r="O1" s="134"/>
    </row>
    <row r="2" spans="1:17" ht="18" customHeight="1" x14ac:dyDescent="0.25">
      <c r="A2" s="134"/>
      <c r="B2" s="134"/>
      <c r="C2" s="134"/>
      <c r="D2" s="134"/>
      <c r="E2" s="134"/>
      <c r="F2" s="134"/>
      <c r="G2" s="134"/>
      <c r="H2" s="134"/>
      <c r="I2" s="134"/>
      <c r="J2" s="134"/>
      <c r="K2" s="134"/>
      <c r="L2" s="134"/>
      <c r="M2" s="134"/>
      <c r="N2" s="134"/>
      <c r="O2" s="134"/>
    </row>
    <row r="3" spans="1:17" ht="18" customHeight="1" x14ac:dyDescent="0.25">
      <c r="A3" s="134"/>
      <c r="B3" s="134"/>
      <c r="C3" s="134"/>
      <c r="D3" s="134"/>
      <c r="E3" s="134"/>
      <c r="F3" s="134"/>
      <c r="G3" s="134"/>
      <c r="H3" s="134"/>
      <c r="I3" s="134"/>
      <c r="J3" s="134"/>
      <c r="K3" s="134"/>
      <c r="L3" s="134"/>
      <c r="M3" s="134"/>
      <c r="N3" s="134"/>
      <c r="O3" s="134"/>
    </row>
    <row r="4" spans="1:17" collapsed="1" x14ac:dyDescent="0.25">
      <c r="A4" s="136" t="s">
        <v>172</v>
      </c>
      <c r="B4" s="136"/>
      <c r="C4" s="136"/>
      <c r="D4" s="136"/>
      <c r="E4" s="136"/>
      <c r="F4" s="136"/>
      <c r="G4" s="136"/>
      <c r="H4" s="136"/>
      <c r="I4" s="136"/>
      <c r="J4" s="136"/>
      <c r="K4" s="136"/>
      <c r="L4" s="136"/>
      <c r="M4" s="136"/>
      <c r="N4" s="136"/>
      <c r="O4" s="136"/>
    </row>
    <row r="5" spans="1:17" ht="213.6" hidden="1" customHeight="1" outlineLevel="1" x14ac:dyDescent="0.25">
      <c r="A5" s="138" t="s">
        <v>40</v>
      </c>
      <c r="B5" s="141"/>
      <c r="C5" s="141"/>
      <c r="D5" s="141"/>
      <c r="E5" s="141"/>
      <c r="F5" s="141"/>
      <c r="G5" s="141"/>
      <c r="H5" s="141"/>
      <c r="I5" s="141"/>
      <c r="J5" s="141"/>
      <c r="K5" s="141"/>
      <c r="L5" s="141"/>
      <c r="M5" s="141"/>
      <c r="N5" s="141"/>
      <c r="O5" s="141"/>
      <c r="P5" s="141"/>
      <c r="Q5" s="141"/>
    </row>
    <row r="6" spans="1:17" ht="6" customHeight="1" x14ac:dyDescent="0.25">
      <c r="A6" s="229"/>
      <c r="B6" s="229"/>
      <c r="C6" s="229"/>
      <c r="D6" s="229"/>
      <c r="E6" s="2"/>
      <c r="F6" s="4"/>
      <c r="G6" s="4"/>
      <c r="H6" s="4"/>
      <c r="I6" s="4"/>
      <c r="J6" s="4"/>
      <c r="K6" s="4"/>
      <c r="L6" s="4"/>
      <c r="M6" s="2"/>
      <c r="N6" s="2"/>
      <c r="O6" s="2"/>
    </row>
    <row r="7" spans="1:17" ht="18" customHeight="1" x14ac:dyDescent="0.25">
      <c r="A7" s="237" t="s">
        <v>3</v>
      </c>
      <c r="B7" s="237" t="s">
        <v>4</v>
      </c>
      <c r="C7" s="234" t="s">
        <v>5</v>
      </c>
      <c r="D7" s="235" t="s">
        <v>6</v>
      </c>
      <c r="E7" s="36"/>
      <c r="F7" s="5" t="s">
        <v>1</v>
      </c>
      <c r="G7" s="6" t="s">
        <v>7</v>
      </c>
      <c r="H7" s="6" t="s">
        <v>8</v>
      </c>
      <c r="I7" s="6" t="s">
        <v>9</v>
      </c>
      <c r="J7" s="6" t="s">
        <v>10</v>
      </c>
      <c r="K7" s="6" t="s">
        <v>11</v>
      </c>
      <c r="L7" s="7" t="s">
        <v>12</v>
      </c>
      <c r="M7" s="2"/>
      <c r="N7" s="3"/>
      <c r="O7" s="3"/>
    </row>
    <row r="8" spans="1:17" ht="18" customHeight="1" x14ac:dyDescent="0.25">
      <c r="A8" s="34" t="s">
        <v>13</v>
      </c>
      <c r="B8" s="34">
        <v>60</v>
      </c>
      <c r="C8" s="236">
        <v>-3</v>
      </c>
      <c r="D8" s="133" t="s">
        <v>0</v>
      </c>
      <c r="E8" s="2"/>
      <c r="F8" s="22" t="s">
        <v>116</v>
      </c>
      <c r="G8" s="58">
        <f>Tools!C130</f>
        <v>-8.7995417048579299</v>
      </c>
      <c r="H8" s="58">
        <f>Tools!D130</f>
        <v>9.6186984417965152E-2</v>
      </c>
      <c r="I8" s="58">
        <f>Tools!E130*100</f>
        <v>0</v>
      </c>
      <c r="J8" s="58">
        <f>Tools!F130*100</f>
        <v>0</v>
      </c>
      <c r="K8" s="58">
        <f>Tools!G130*100</f>
        <v>0</v>
      </c>
      <c r="L8" s="59">
        <f>Tools!H130*100</f>
        <v>0</v>
      </c>
      <c r="M8" s="2"/>
      <c r="N8" s="2"/>
      <c r="O8" s="2"/>
    </row>
    <row r="9" spans="1:17" ht="18" customHeight="1" x14ac:dyDescent="0.25">
      <c r="A9" s="238">
        <v>1</v>
      </c>
      <c r="B9" s="240">
        <v>150</v>
      </c>
      <c r="C9" s="230">
        <v>5.5</v>
      </c>
      <c r="D9" s="231" t="s">
        <v>0</v>
      </c>
      <c r="E9" s="2"/>
      <c r="F9" s="34" t="s">
        <v>33</v>
      </c>
      <c r="G9" s="45">
        <v>10</v>
      </c>
      <c r="H9" s="2"/>
      <c r="I9" s="2"/>
      <c r="J9" s="2"/>
      <c r="K9" s="2"/>
      <c r="L9" s="2"/>
      <c r="M9" s="2"/>
      <c r="N9" s="47" t="s">
        <v>36</v>
      </c>
      <c r="O9" s="46">
        <f>Tools!F207</f>
        <v>0.99556773432963097</v>
      </c>
    </row>
    <row r="10" spans="1:17" ht="18" customHeight="1" x14ac:dyDescent="0.25">
      <c r="A10" s="238">
        <v>2</v>
      </c>
      <c r="B10" s="240">
        <v>155</v>
      </c>
      <c r="C10" s="230">
        <v>5.8</v>
      </c>
      <c r="D10" s="231" t="s">
        <v>0</v>
      </c>
      <c r="E10" s="2"/>
      <c r="F10" s="2"/>
      <c r="G10" s="2"/>
      <c r="H10" s="2"/>
      <c r="I10" s="2"/>
      <c r="J10" s="2"/>
      <c r="K10" s="2"/>
      <c r="L10" s="2"/>
      <c r="M10" s="2"/>
      <c r="N10" s="2"/>
      <c r="O10" s="2"/>
    </row>
    <row r="11" spans="1:17" ht="18" customHeight="1" x14ac:dyDescent="0.25">
      <c r="A11" s="238">
        <v>3</v>
      </c>
      <c r="B11" s="240">
        <v>160</v>
      </c>
      <c r="C11" s="230">
        <v>7</v>
      </c>
      <c r="D11" s="231" t="s">
        <v>0</v>
      </c>
      <c r="E11" s="2"/>
      <c r="F11" s="2"/>
      <c r="G11" s="2"/>
      <c r="H11" s="2"/>
      <c r="I11" s="2"/>
      <c r="J11" s="2"/>
      <c r="K11" s="2"/>
      <c r="L11" s="2"/>
      <c r="M11" s="2"/>
      <c r="N11" s="2"/>
      <c r="O11" s="2"/>
    </row>
    <row r="12" spans="1:17" ht="18" customHeight="1" x14ac:dyDescent="0.25">
      <c r="A12" s="238">
        <v>4</v>
      </c>
      <c r="B12" s="240">
        <v>157</v>
      </c>
      <c r="C12" s="230">
        <v>4</v>
      </c>
      <c r="D12" s="231" t="s">
        <v>30</v>
      </c>
      <c r="E12" s="2"/>
      <c r="F12" s="2"/>
      <c r="G12" s="2"/>
      <c r="H12" s="2"/>
      <c r="I12" s="2"/>
      <c r="J12" s="2"/>
      <c r="K12" s="2"/>
      <c r="L12" s="2"/>
      <c r="M12" s="2"/>
      <c r="N12" s="2"/>
      <c r="O12" s="2"/>
    </row>
    <row r="13" spans="1:17" ht="18" customHeight="1" x14ac:dyDescent="0.25">
      <c r="A13" s="238">
        <v>5</v>
      </c>
      <c r="B13" s="240"/>
      <c r="C13" s="230"/>
      <c r="D13" s="231" t="s">
        <v>0</v>
      </c>
      <c r="E13" s="2"/>
      <c r="F13" s="2"/>
      <c r="G13" s="2"/>
      <c r="H13" s="2"/>
      <c r="I13" s="2"/>
      <c r="J13" s="2"/>
      <c r="K13" s="2"/>
      <c r="L13" s="2"/>
      <c r="M13" s="2"/>
      <c r="N13" s="2"/>
      <c r="O13" s="2"/>
    </row>
    <row r="14" spans="1:17" ht="18" customHeight="1" x14ac:dyDescent="0.25">
      <c r="A14" s="238">
        <v>6</v>
      </c>
      <c r="B14" s="240"/>
      <c r="C14" s="230"/>
      <c r="D14" s="231" t="s">
        <v>0</v>
      </c>
      <c r="E14" s="2"/>
      <c r="F14" s="2"/>
      <c r="G14" s="2"/>
      <c r="H14" s="2"/>
      <c r="I14" s="2"/>
      <c r="J14" s="2"/>
      <c r="K14" s="2"/>
      <c r="L14" s="2"/>
      <c r="M14" s="2"/>
      <c r="N14" s="2"/>
      <c r="O14" s="2"/>
    </row>
    <row r="15" spans="1:17" ht="18" customHeight="1" x14ac:dyDescent="0.25">
      <c r="A15" s="238">
        <v>7</v>
      </c>
      <c r="B15" s="240"/>
      <c r="C15" s="230"/>
      <c r="D15" s="231" t="s">
        <v>0</v>
      </c>
      <c r="E15" s="2"/>
      <c r="F15" s="2"/>
      <c r="G15" s="2"/>
      <c r="H15" s="2"/>
      <c r="I15" s="2"/>
      <c r="J15" s="2"/>
      <c r="K15" s="2"/>
      <c r="L15" s="2"/>
      <c r="M15" s="2"/>
      <c r="N15" s="2"/>
      <c r="O15" s="2"/>
    </row>
    <row r="16" spans="1:17" ht="18" customHeight="1" x14ac:dyDescent="0.25">
      <c r="A16" s="238">
        <v>8</v>
      </c>
      <c r="B16" s="240"/>
      <c r="C16" s="230"/>
      <c r="D16" s="231" t="s">
        <v>0</v>
      </c>
      <c r="E16" s="2"/>
      <c r="F16" s="2"/>
      <c r="G16" s="2"/>
      <c r="H16" s="2"/>
      <c r="I16" s="2"/>
      <c r="J16" s="2"/>
      <c r="K16" s="2"/>
      <c r="L16" s="2"/>
      <c r="M16" s="2"/>
      <c r="N16" s="2"/>
      <c r="O16" s="2"/>
    </row>
    <row r="17" spans="1:15" ht="18" customHeight="1" x14ac:dyDescent="0.25">
      <c r="A17" s="238">
        <v>9</v>
      </c>
      <c r="B17" s="240"/>
      <c r="C17" s="230"/>
      <c r="D17" s="231" t="s">
        <v>0</v>
      </c>
      <c r="E17" s="2"/>
      <c r="F17" s="2"/>
      <c r="G17" s="2"/>
      <c r="H17" s="2"/>
      <c r="I17" s="2"/>
      <c r="J17" s="2"/>
      <c r="K17" s="2"/>
      <c r="L17" s="2"/>
      <c r="M17" s="2"/>
      <c r="N17" s="2"/>
      <c r="O17" s="2"/>
    </row>
    <row r="18" spans="1:15" ht="18" customHeight="1" x14ac:dyDescent="0.25">
      <c r="A18" s="238">
        <v>10</v>
      </c>
      <c r="B18" s="240"/>
      <c r="C18" s="230"/>
      <c r="D18" s="231" t="s">
        <v>0</v>
      </c>
      <c r="E18" s="2"/>
      <c r="F18" s="2"/>
      <c r="G18" s="2"/>
      <c r="H18" s="2"/>
      <c r="I18" s="2"/>
      <c r="J18" s="2"/>
      <c r="K18" s="2"/>
      <c r="L18" s="2"/>
      <c r="M18" s="2"/>
      <c r="N18" s="2"/>
      <c r="O18" s="2"/>
    </row>
    <row r="19" spans="1:15" ht="18" customHeight="1" x14ac:dyDescent="0.25">
      <c r="A19" s="238">
        <v>11</v>
      </c>
      <c r="B19" s="240"/>
      <c r="C19" s="230"/>
      <c r="D19" s="231" t="s">
        <v>0</v>
      </c>
      <c r="E19" s="2"/>
      <c r="F19" s="2"/>
      <c r="G19" s="2"/>
      <c r="H19" s="2"/>
      <c r="I19" s="2"/>
      <c r="J19" s="2"/>
      <c r="K19" s="2"/>
      <c r="L19" s="2"/>
      <c r="M19" s="2"/>
      <c r="N19" s="2"/>
      <c r="O19" s="2"/>
    </row>
    <row r="20" spans="1:15" ht="18" customHeight="1" x14ac:dyDescent="0.25">
      <c r="A20" s="238">
        <v>12</v>
      </c>
      <c r="B20" s="240"/>
      <c r="C20" s="230"/>
      <c r="D20" s="231" t="s">
        <v>0</v>
      </c>
      <c r="E20" s="2"/>
      <c r="F20" s="2"/>
      <c r="G20" s="2"/>
      <c r="H20" s="2"/>
      <c r="I20" s="2"/>
      <c r="J20" s="2"/>
      <c r="K20" s="2"/>
      <c r="L20" s="2"/>
      <c r="M20" s="2"/>
      <c r="N20" s="2"/>
      <c r="O20" s="2"/>
    </row>
    <row r="21" spans="1:15" ht="18" customHeight="1" x14ac:dyDescent="0.25">
      <c r="A21" s="238">
        <v>13</v>
      </c>
      <c r="B21" s="240"/>
      <c r="C21" s="230"/>
      <c r="D21" s="231" t="s">
        <v>0</v>
      </c>
      <c r="E21" s="2"/>
      <c r="F21" s="2"/>
      <c r="G21" s="2"/>
      <c r="H21" s="2"/>
      <c r="I21" s="2"/>
      <c r="J21" s="2"/>
      <c r="K21" s="2"/>
      <c r="L21" s="2"/>
      <c r="M21" s="2"/>
      <c r="N21" s="2"/>
      <c r="O21" s="2"/>
    </row>
    <row r="22" spans="1:15" ht="18" customHeight="1" x14ac:dyDescent="0.25">
      <c r="A22" s="238">
        <v>14</v>
      </c>
      <c r="B22" s="240"/>
      <c r="C22" s="230"/>
      <c r="D22" s="231" t="s">
        <v>0</v>
      </c>
      <c r="E22" s="2"/>
      <c r="F22" s="2"/>
      <c r="G22" s="2"/>
      <c r="H22" s="2"/>
      <c r="I22" s="2"/>
      <c r="J22" s="2"/>
      <c r="K22" s="2"/>
      <c r="L22" s="2"/>
      <c r="M22" s="2"/>
      <c r="N22" s="2"/>
      <c r="O22" s="2"/>
    </row>
    <row r="23" spans="1:15" ht="18" customHeight="1" x14ac:dyDescent="0.25">
      <c r="A23" s="239">
        <v>15</v>
      </c>
      <c r="B23" s="241"/>
      <c r="C23" s="232"/>
      <c r="D23" s="233" t="s">
        <v>0</v>
      </c>
      <c r="E23" s="2"/>
      <c r="F23" s="2"/>
      <c r="G23" s="2"/>
      <c r="H23" s="2"/>
      <c r="I23" s="2"/>
      <c r="J23" s="2"/>
      <c r="K23" s="2"/>
      <c r="L23" s="2"/>
      <c r="M23" s="2"/>
      <c r="N23" s="2"/>
      <c r="O23" s="2"/>
    </row>
    <row r="24" spans="1:15" ht="18" customHeight="1" x14ac:dyDescent="0.25">
      <c r="A24" s="247"/>
      <c r="B24" s="248"/>
      <c r="C24" s="248"/>
      <c r="D24" s="247"/>
      <c r="E24" s="2"/>
      <c r="F24" s="2"/>
      <c r="G24" s="2"/>
      <c r="H24" s="2"/>
      <c r="I24" s="2"/>
      <c r="J24" s="2"/>
      <c r="K24" s="2"/>
      <c r="L24" s="2"/>
      <c r="M24" s="2"/>
      <c r="N24" s="2"/>
      <c r="O24" s="2"/>
    </row>
    <row r="25" spans="1:15" ht="18" customHeight="1" x14ac:dyDescent="0.25">
      <c r="A25" s="247"/>
      <c r="B25" s="248"/>
      <c r="C25" s="248"/>
      <c r="D25" s="247"/>
      <c r="E25" s="2"/>
      <c r="F25" s="2"/>
      <c r="G25" s="2"/>
      <c r="H25" s="2"/>
      <c r="I25" s="2"/>
      <c r="J25" s="2"/>
      <c r="K25" s="2"/>
      <c r="L25" s="2"/>
      <c r="M25" s="2"/>
      <c r="N25" s="2"/>
      <c r="O25" s="2"/>
    </row>
    <row r="26" spans="1:15" ht="18" customHeight="1" x14ac:dyDescent="0.25">
      <c r="A26" s="247"/>
      <c r="B26" s="248"/>
      <c r="C26" s="248"/>
      <c r="D26" s="247"/>
      <c r="E26" s="2"/>
      <c r="F26" s="2"/>
      <c r="G26" s="2"/>
      <c r="H26" s="2"/>
      <c r="I26" s="2"/>
      <c r="J26" s="2"/>
      <c r="K26" s="2"/>
      <c r="L26" s="2"/>
      <c r="M26" s="2"/>
      <c r="N26" s="2"/>
      <c r="O26" s="2"/>
    </row>
    <row r="27" spans="1:15" ht="18" customHeight="1" x14ac:dyDescent="0.25">
      <c r="A27" s="247"/>
      <c r="B27" s="248"/>
      <c r="C27" s="248"/>
      <c r="D27" s="247"/>
      <c r="E27" s="2"/>
      <c r="F27" s="2"/>
      <c r="G27" s="2"/>
      <c r="H27" s="2"/>
      <c r="I27" s="2"/>
      <c r="J27" s="2"/>
      <c r="K27" s="2"/>
      <c r="L27" s="2"/>
      <c r="M27" s="2"/>
      <c r="N27" s="2"/>
      <c r="O27" s="2"/>
    </row>
    <row r="28" spans="1:15" x14ac:dyDescent="0.25">
      <c r="A28" s="247"/>
      <c r="B28" s="248"/>
      <c r="C28" s="248"/>
      <c r="D28" s="247"/>
      <c r="E28" s="2"/>
      <c r="F28" s="2"/>
      <c r="G28" s="2"/>
      <c r="H28" s="2"/>
      <c r="I28" s="2"/>
      <c r="J28" s="2"/>
      <c r="K28" s="2"/>
      <c r="L28" s="2"/>
      <c r="M28" s="2"/>
      <c r="N28" s="2"/>
      <c r="O28" s="2"/>
    </row>
    <row r="29" spans="1:15" x14ac:dyDescent="0.25">
      <c r="A29" s="249"/>
      <c r="B29" s="249"/>
      <c r="C29" s="249"/>
      <c r="D29" s="249"/>
      <c r="E29" s="2"/>
      <c r="F29" s="2"/>
      <c r="G29" s="2"/>
      <c r="H29" s="2"/>
      <c r="I29" s="2"/>
      <c r="J29" s="2"/>
      <c r="K29" s="2"/>
      <c r="L29" s="2"/>
      <c r="M29" s="2"/>
      <c r="N29" s="2"/>
      <c r="O29" s="2"/>
    </row>
    <row r="30" spans="1:15" x14ac:dyDescent="0.25">
      <c r="A30" s="249"/>
      <c r="B30" s="249"/>
      <c r="C30" s="249"/>
      <c r="D30" s="249"/>
      <c r="E30" s="2"/>
      <c r="F30" s="2"/>
      <c r="G30" s="2"/>
      <c r="H30" s="2"/>
      <c r="I30" s="2"/>
      <c r="J30" s="2"/>
      <c r="K30" s="2"/>
      <c r="L30" s="2"/>
      <c r="M30" s="2"/>
      <c r="N30" s="2"/>
      <c r="O30" s="2"/>
    </row>
  </sheetData>
  <sheetProtection algorithmName="SHA-512" hashValue="d28905jCchOWWl/XVcNwi8GWVu12W4nTY8qpTnhmZDyfe44ZzYuiELDsszqt6wCJv80Qn6pm5erXT8w3G3yDfA==" saltValue="5WOGy7//8k4XvApRBTmexQ==" spinCount="100000" sheet="1" objects="1" formatRows="0" selectLockedCells="1"/>
  <mergeCells count="3">
    <mergeCell ref="A1:O3"/>
    <mergeCell ref="A4:O4"/>
    <mergeCell ref="A5:Q5"/>
  </mergeCells>
  <conditionalFormatting sqref="D8:D28">
    <cfRule type="expression" dxfId="2" priority="1">
      <formula>OR($B8="",$C8="")</formula>
    </cfRule>
  </conditionalFormatting>
  <dataValidations count="2">
    <dataValidation type="list" allowBlank="1" showInputMessage="1" showErrorMessage="1" sqref="D8:D28" xr:uid="{1A7CD76E-0188-4FA6-82A2-DAC0E88CFE90}">
      <formula1>"yes,no"</formula1>
    </dataValidation>
    <dataValidation type="list" allowBlank="1" showInputMessage="1" showErrorMessage="1" sqref="F8" xr:uid="{CBF1759F-11AE-4FD9-B964-F04876FB6060}">
      <formula1>"Linear,Polynomial [2],Polynomial [3],Polynomial [4],Polynomial [5]"</formula1>
    </dataValidation>
  </dataValidations>
  <pageMargins left="0.19685039370078741" right="0.19685039370078741" top="0.74803149606299213" bottom="0.74803149606299213" header="0.31496062992125984" footer="0.31496062992125984"/>
  <pageSetup paperSize="9" orientation="landscape"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3457A-CCAA-47DB-8B78-892DC37153D0}">
  <sheetPr codeName="Tabelle4">
    <tabColor rgb="FF007CAA"/>
    <outlinePr summaryBelow="0"/>
  </sheetPr>
  <dimension ref="A1:Q30"/>
  <sheetViews>
    <sheetView showGridLines="0" showRowColHeaders="0" zoomScale="120" zoomScaleNormal="120" workbookViewId="0">
      <selection activeCell="A11" sqref="A11:C14"/>
    </sheetView>
    <sheetView showGridLines="0" showRowColHeaders="0" zoomScale="120" zoomScaleNormal="120" workbookViewId="1">
      <selection activeCell="A11" sqref="A11:C14"/>
    </sheetView>
  </sheetViews>
  <sheetFormatPr baseColWidth="10" defaultColWidth="11.5703125" defaultRowHeight="15" outlineLevelRow="1" x14ac:dyDescent="0.25"/>
  <cols>
    <col min="1" max="13" width="8.85546875" style="1" customWidth="1"/>
    <col min="14" max="14" width="11.140625" style="1" customWidth="1"/>
    <col min="15" max="15" width="16.5703125" style="1" customWidth="1"/>
    <col min="16" max="19" width="8.85546875" style="1" customWidth="1"/>
    <col min="20" max="16384" width="11.5703125" style="1"/>
  </cols>
  <sheetData>
    <row r="1" spans="1:17" ht="18" customHeight="1" x14ac:dyDescent="0.25">
      <c r="A1" s="134" t="s">
        <v>41</v>
      </c>
      <c r="B1" s="134"/>
      <c r="C1" s="134"/>
      <c r="D1" s="134"/>
      <c r="E1" s="134"/>
      <c r="F1" s="134"/>
      <c r="G1" s="134"/>
      <c r="H1" s="134"/>
      <c r="I1" s="134"/>
      <c r="J1" s="134"/>
      <c r="K1" s="134"/>
      <c r="L1" s="134"/>
      <c r="M1" s="134"/>
      <c r="N1" s="134"/>
      <c r="O1" s="134"/>
    </row>
    <row r="2" spans="1:17" ht="18" customHeight="1" x14ac:dyDescent="0.25">
      <c r="A2" s="134"/>
      <c r="B2" s="134"/>
      <c r="C2" s="134"/>
      <c r="D2" s="134"/>
      <c r="E2" s="134"/>
      <c r="F2" s="134"/>
      <c r="G2" s="134"/>
      <c r="H2" s="134"/>
      <c r="I2" s="134"/>
      <c r="J2" s="134"/>
      <c r="K2" s="134"/>
      <c r="L2" s="134"/>
      <c r="M2" s="134"/>
      <c r="N2" s="134"/>
      <c r="O2" s="134"/>
    </row>
    <row r="3" spans="1:17" ht="18" customHeight="1" x14ac:dyDescent="0.25">
      <c r="A3" s="134"/>
      <c r="B3" s="134"/>
      <c r="C3" s="134"/>
      <c r="D3" s="134"/>
      <c r="E3" s="134"/>
      <c r="F3" s="134"/>
      <c r="G3" s="134"/>
      <c r="H3" s="134"/>
      <c r="I3" s="134"/>
      <c r="J3" s="134"/>
      <c r="K3" s="134"/>
      <c r="L3" s="134"/>
      <c r="M3" s="134"/>
      <c r="N3" s="134"/>
      <c r="O3" s="134"/>
    </row>
    <row r="4" spans="1:17" collapsed="1" x14ac:dyDescent="0.25">
      <c r="A4" s="136" t="s">
        <v>172</v>
      </c>
      <c r="B4" s="136"/>
      <c r="C4" s="136"/>
      <c r="D4" s="136"/>
      <c r="E4" s="136"/>
      <c r="F4" s="136"/>
      <c r="G4" s="136"/>
      <c r="H4" s="136"/>
      <c r="I4" s="136"/>
      <c r="J4" s="136"/>
      <c r="K4" s="136"/>
      <c r="L4" s="136"/>
      <c r="M4" s="136"/>
      <c r="N4" s="136"/>
      <c r="O4" s="136"/>
    </row>
    <row r="5" spans="1:17" ht="145.9" hidden="1" customHeight="1" outlineLevel="1" x14ac:dyDescent="0.25">
      <c r="A5" s="138" t="s">
        <v>48</v>
      </c>
      <c r="B5" s="138"/>
      <c r="C5" s="138"/>
      <c r="D5" s="138"/>
      <c r="E5" s="138"/>
      <c r="F5" s="138"/>
      <c r="G5" s="138"/>
      <c r="H5" s="138"/>
      <c r="I5" s="138"/>
      <c r="J5" s="138"/>
      <c r="K5" s="138"/>
      <c r="L5" s="138"/>
      <c r="M5" s="138"/>
      <c r="N5" s="138"/>
      <c r="O5" s="138"/>
      <c r="P5" s="25"/>
      <c r="Q5" s="25"/>
    </row>
    <row r="6" spans="1:17" ht="6" customHeight="1" x14ac:dyDescent="0.25">
      <c r="A6" s="2"/>
      <c r="B6" s="2"/>
      <c r="C6" s="2"/>
      <c r="D6" s="2"/>
      <c r="E6" s="2"/>
      <c r="F6" s="2"/>
      <c r="G6" s="2"/>
      <c r="H6" s="2"/>
      <c r="I6" s="2"/>
      <c r="J6" s="2"/>
      <c r="K6" s="2"/>
      <c r="L6" s="2"/>
      <c r="M6" s="2"/>
      <c r="N6" s="2"/>
      <c r="O6" s="2"/>
    </row>
    <row r="7" spans="1:17" ht="18" customHeight="1" x14ac:dyDescent="0.25">
      <c r="A7" s="191" t="s">
        <v>109</v>
      </c>
      <c r="B7" s="191"/>
      <c r="C7" s="191"/>
      <c r="D7" s="191"/>
      <c r="E7" s="191"/>
      <c r="F7" s="191"/>
      <c r="G7" s="191"/>
      <c r="H7" s="191"/>
      <c r="I7" s="191"/>
      <c r="J7" s="191"/>
      <c r="K7" s="191"/>
      <c r="L7" s="191"/>
      <c r="M7" s="191"/>
      <c r="N7" s="191"/>
      <c r="O7" s="191"/>
    </row>
    <row r="8" spans="1:17" ht="18" customHeight="1" x14ac:dyDescent="0.25">
      <c r="A8" s="191"/>
      <c r="B8" s="191"/>
      <c r="C8" s="191"/>
      <c r="D8" s="191"/>
      <c r="E8" s="191"/>
      <c r="F8" s="191"/>
      <c r="G8" s="191"/>
      <c r="H8" s="191"/>
      <c r="I8" s="191"/>
      <c r="J8" s="191"/>
      <c r="K8" s="191"/>
      <c r="L8" s="191"/>
      <c r="M8" s="191"/>
      <c r="N8" s="191"/>
      <c r="O8" s="191"/>
    </row>
    <row r="9" spans="1:17" ht="18" customHeight="1" x14ac:dyDescent="0.25">
      <c r="A9" s="2"/>
      <c r="B9" s="2"/>
      <c r="C9" s="2"/>
      <c r="D9" s="2"/>
      <c r="E9" s="2"/>
      <c r="F9" s="2"/>
      <c r="G9" s="2"/>
      <c r="H9" s="2"/>
      <c r="I9" s="2"/>
      <c r="J9" s="2"/>
      <c r="K9" s="2"/>
      <c r="L9" s="2"/>
      <c r="M9" s="2"/>
      <c r="N9" s="2"/>
      <c r="O9" s="2"/>
    </row>
    <row r="10" spans="1:17" ht="18" customHeight="1" x14ac:dyDescent="0.25">
      <c r="A10" s="142" t="s">
        <v>44</v>
      </c>
      <c r="B10" s="142"/>
      <c r="C10" s="142"/>
      <c r="D10" s="3"/>
      <c r="E10" s="142" t="s">
        <v>43</v>
      </c>
      <c r="F10" s="142"/>
      <c r="G10" s="142"/>
      <c r="H10" s="26"/>
      <c r="I10" s="142" t="s">
        <v>45</v>
      </c>
      <c r="J10" s="142"/>
      <c r="K10" s="142"/>
      <c r="L10" s="26"/>
      <c r="M10" s="2"/>
      <c r="N10" s="2"/>
      <c r="O10" s="2"/>
    </row>
    <row r="11" spans="1:17" ht="18" customHeight="1" x14ac:dyDescent="0.25">
      <c r="A11" s="182">
        <v>1.5</v>
      </c>
      <c r="B11" s="183"/>
      <c r="C11" s="184"/>
      <c r="D11" s="3"/>
      <c r="E11" s="173">
        <f>-(A11*12.12-17.05)</f>
        <v>-1.129999999999999</v>
      </c>
      <c r="F11" s="174"/>
      <c r="G11" s="175"/>
      <c r="H11" s="2"/>
      <c r="I11" s="163" t="str">
        <f>IF(ABS(E11)&lt;0.01,"No adjustment required",CONCATENATE((IF(E11&gt;0,"Increase ","Decrease ")),"calibration parameter m0 by ",TEXT(ABS(E11),"0,00")))</f>
        <v>Decrease calibration parameter m0 by 1,13</v>
      </c>
      <c r="J11" s="164"/>
      <c r="K11" s="165"/>
      <c r="L11" s="2"/>
      <c r="M11" s="2"/>
      <c r="N11" s="13"/>
      <c r="O11" s="14"/>
    </row>
    <row r="12" spans="1:17" ht="18" customHeight="1" x14ac:dyDescent="0.25">
      <c r="A12" s="185"/>
      <c r="B12" s="186"/>
      <c r="C12" s="187"/>
      <c r="D12" s="3"/>
      <c r="E12" s="176"/>
      <c r="F12" s="177"/>
      <c r="G12" s="178"/>
      <c r="H12" s="2"/>
      <c r="I12" s="166"/>
      <c r="J12" s="167"/>
      <c r="K12" s="168"/>
      <c r="L12" s="2"/>
      <c r="M12" s="2"/>
      <c r="N12" s="2"/>
      <c r="O12" s="2"/>
    </row>
    <row r="13" spans="1:17" ht="18" customHeight="1" x14ac:dyDescent="0.25">
      <c r="A13" s="185"/>
      <c r="B13" s="186"/>
      <c r="C13" s="187"/>
      <c r="D13" s="3"/>
      <c r="E13" s="176"/>
      <c r="F13" s="177"/>
      <c r="G13" s="178"/>
      <c r="H13" s="2"/>
      <c r="I13" s="166"/>
      <c r="J13" s="167"/>
      <c r="K13" s="168"/>
      <c r="L13" s="2"/>
      <c r="M13" s="2"/>
      <c r="N13" s="2"/>
      <c r="O13" s="2"/>
    </row>
    <row r="14" spans="1:17" ht="18" customHeight="1" x14ac:dyDescent="0.25">
      <c r="A14" s="188"/>
      <c r="B14" s="189"/>
      <c r="C14" s="190"/>
      <c r="D14" s="3"/>
      <c r="E14" s="179"/>
      <c r="F14" s="180"/>
      <c r="G14" s="181"/>
      <c r="H14" s="2"/>
      <c r="I14" s="169"/>
      <c r="J14" s="170"/>
      <c r="K14" s="171"/>
      <c r="L14" s="2"/>
      <c r="M14" s="2"/>
      <c r="N14" s="2"/>
      <c r="O14" s="2"/>
    </row>
    <row r="15" spans="1:17" ht="18" customHeight="1" x14ac:dyDescent="0.25">
      <c r="A15" s="3"/>
      <c r="B15" s="3"/>
      <c r="C15" s="27"/>
      <c r="D15" s="3"/>
      <c r="E15" s="2"/>
      <c r="F15" s="2"/>
      <c r="G15" s="2"/>
      <c r="H15" s="2"/>
      <c r="I15" s="2"/>
      <c r="J15" s="2"/>
      <c r="K15" s="2"/>
      <c r="L15" s="2"/>
      <c r="M15" s="2"/>
      <c r="N15" s="2"/>
      <c r="O15" s="2"/>
    </row>
    <row r="16" spans="1:17" ht="18" customHeight="1" x14ac:dyDescent="0.25">
      <c r="A16" s="172" t="s">
        <v>49</v>
      </c>
      <c r="B16" s="172"/>
      <c r="C16" s="172"/>
      <c r="D16" s="172"/>
      <c r="E16" s="29">
        <v>1.4067499999999999</v>
      </c>
      <c r="F16" s="28" t="s">
        <v>42</v>
      </c>
      <c r="G16" s="2"/>
      <c r="H16" s="2"/>
      <c r="I16" s="2"/>
      <c r="J16" s="2"/>
      <c r="K16" s="2"/>
      <c r="L16" s="2"/>
      <c r="M16" s="2"/>
      <c r="N16" s="2"/>
      <c r="O16" s="2"/>
    </row>
    <row r="17" spans="1:15" ht="18" customHeight="1" x14ac:dyDescent="0.25">
      <c r="A17" s="3"/>
      <c r="B17" s="3"/>
      <c r="C17" s="27"/>
      <c r="D17" s="3"/>
      <c r="E17" s="2"/>
      <c r="F17" s="2"/>
      <c r="G17" s="2"/>
      <c r="H17" s="2"/>
      <c r="I17" s="2"/>
      <c r="J17" s="2"/>
      <c r="K17" s="2"/>
      <c r="L17" s="2"/>
      <c r="M17" s="2"/>
      <c r="N17" s="2"/>
      <c r="O17" s="2"/>
    </row>
    <row r="18" spans="1:15" ht="18" customHeight="1" x14ac:dyDescent="0.25">
      <c r="A18" s="3"/>
      <c r="B18" s="3"/>
      <c r="C18" s="27"/>
      <c r="D18" s="3"/>
      <c r="E18" s="2"/>
      <c r="F18" s="2"/>
      <c r="G18" s="2"/>
      <c r="H18" s="2"/>
      <c r="I18" s="2"/>
      <c r="J18" s="2"/>
      <c r="K18" s="2"/>
      <c r="L18" s="2"/>
      <c r="M18" s="2"/>
      <c r="N18" s="2"/>
      <c r="O18" s="2"/>
    </row>
    <row r="19" spans="1:15" ht="18" customHeight="1" x14ac:dyDescent="0.25">
      <c r="A19" s="3"/>
      <c r="B19" s="3"/>
      <c r="C19" s="27"/>
      <c r="D19" s="3"/>
      <c r="E19" s="2"/>
      <c r="F19" s="2"/>
      <c r="G19" s="2"/>
      <c r="H19" s="2"/>
      <c r="I19" s="2"/>
      <c r="J19" s="2"/>
      <c r="K19" s="2"/>
      <c r="L19" s="2"/>
      <c r="M19" s="2"/>
      <c r="N19" s="2"/>
      <c r="O19" s="2"/>
    </row>
    <row r="20" spans="1:15" ht="18" customHeight="1" x14ac:dyDescent="0.25">
      <c r="A20" s="3"/>
      <c r="B20" s="3"/>
      <c r="C20" s="27"/>
      <c r="D20" s="3"/>
      <c r="E20" s="2"/>
      <c r="F20" s="2"/>
      <c r="G20" s="2"/>
      <c r="H20" s="2"/>
      <c r="I20" s="2"/>
      <c r="J20" s="2"/>
      <c r="K20" s="2"/>
      <c r="L20" s="2"/>
      <c r="M20" s="2"/>
      <c r="N20" s="2"/>
      <c r="O20" s="2"/>
    </row>
    <row r="21" spans="1:15" ht="18" customHeight="1" x14ac:dyDescent="0.25">
      <c r="A21" s="3"/>
      <c r="B21" s="3"/>
      <c r="C21" s="27"/>
      <c r="D21" s="3"/>
      <c r="E21" s="2"/>
      <c r="F21" s="2"/>
      <c r="G21" s="2"/>
      <c r="H21" s="2"/>
      <c r="I21" s="2"/>
      <c r="J21" s="2"/>
      <c r="K21" s="2"/>
      <c r="L21" s="2"/>
      <c r="M21" s="2"/>
      <c r="N21" s="2"/>
      <c r="O21" s="2"/>
    </row>
    <row r="22" spans="1:15" ht="18" customHeight="1" x14ac:dyDescent="0.25">
      <c r="A22" s="3"/>
      <c r="B22" s="3"/>
      <c r="C22" s="27"/>
      <c r="D22" s="3"/>
      <c r="E22" s="2"/>
      <c r="F22" s="2"/>
      <c r="G22" s="2"/>
      <c r="H22" s="2"/>
      <c r="I22" s="2"/>
      <c r="J22" s="2"/>
      <c r="K22" s="2"/>
      <c r="L22" s="2"/>
      <c r="M22" s="2"/>
      <c r="N22" s="2"/>
      <c r="O22" s="2"/>
    </row>
    <row r="23" spans="1:15" ht="18" customHeight="1" x14ac:dyDescent="0.25">
      <c r="A23" s="3"/>
      <c r="B23" s="3"/>
      <c r="C23" s="27"/>
      <c r="D23" s="3"/>
      <c r="E23" s="2"/>
      <c r="F23" s="2"/>
      <c r="G23" s="2"/>
      <c r="H23" s="2"/>
      <c r="I23" s="2"/>
      <c r="J23" s="2"/>
      <c r="K23" s="2"/>
      <c r="L23" s="2"/>
      <c r="M23" s="2"/>
      <c r="N23" s="2"/>
      <c r="O23" s="2"/>
    </row>
    <row r="24" spans="1:15" ht="18" customHeight="1" x14ac:dyDescent="0.25">
      <c r="A24" s="3"/>
      <c r="B24" s="3"/>
      <c r="C24" s="27"/>
      <c r="D24" s="3"/>
      <c r="E24" s="2"/>
      <c r="F24" s="2"/>
      <c r="G24" s="2"/>
      <c r="H24" s="2"/>
      <c r="I24" s="2"/>
      <c r="J24" s="2"/>
      <c r="K24" s="2"/>
      <c r="L24" s="2"/>
      <c r="M24" s="2"/>
      <c r="N24" s="2"/>
      <c r="O24" s="2"/>
    </row>
    <row r="25" spans="1:15" ht="18" customHeight="1" x14ac:dyDescent="0.25">
      <c r="A25" s="3"/>
      <c r="B25" s="3"/>
      <c r="C25" s="27"/>
      <c r="D25" s="3"/>
      <c r="E25" s="2"/>
      <c r="F25" s="2"/>
      <c r="G25" s="2"/>
      <c r="H25" s="2"/>
      <c r="I25" s="2"/>
      <c r="J25" s="2"/>
      <c r="K25" s="2"/>
      <c r="L25" s="2"/>
      <c r="M25" s="2"/>
      <c r="N25" s="2"/>
      <c r="O25" s="2"/>
    </row>
    <row r="26" spans="1:15" ht="18" customHeight="1" x14ac:dyDescent="0.25">
      <c r="A26" s="3"/>
      <c r="B26" s="2"/>
      <c r="C26" s="2"/>
      <c r="D26" s="3"/>
      <c r="E26" s="2"/>
      <c r="F26" s="2"/>
      <c r="G26" s="2"/>
      <c r="H26" s="2"/>
      <c r="I26" s="2"/>
      <c r="J26" s="2"/>
      <c r="K26" s="2"/>
      <c r="L26" s="2"/>
      <c r="M26" s="2"/>
      <c r="N26" s="2"/>
      <c r="O26" s="2"/>
    </row>
    <row r="27" spans="1:15" x14ac:dyDescent="0.25">
      <c r="A27" s="3"/>
      <c r="B27" s="2"/>
      <c r="C27" s="2"/>
      <c r="D27" s="3"/>
      <c r="E27" s="2"/>
      <c r="F27" s="2"/>
      <c r="G27" s="2"/>
      <c r="H27" s="2"/>
      <c r="I27" s="2"/>
      <c r="J27" s="2"/>
      <c r="K27" s="2"/>
      <c r="L27" s="2"/>
      <c r="M27" s="2"/>
      <c r="N27" s="2"/>
      <c r="O27" s="2"/>
    </row>
    <row r="28" spans="1:15" x14ac:dyDescent="0.25">
      <c r="A28" s="3"/>
      <c r="B28" s="2"/>
      <c r="C28" s="2"/>
      <c r="D28" s="3"/>
      <c r="E28" s="2"/>
      <c r="F28" s="2"/>
      <c r="G28" s="2"/>
      <c r="H28" s="2"/>
      <c r="I28" s="2"/>
      <c r="J28" s="2"/>
      <c r="K28" s="2"/>
      <c r="L28" s="2"/>
      <c r="M28" s="2"/>
      <c r="N28" s="2"/>
      <c r="O28" s="2"/>
    </row>
    <row r="29" spans="1:15" x14ac:dyDescent="0.25">
      <c r="A29" s="3"/>
      <c r="B29" s="2"/>
      <c r="C29" s="2"/>
      <c r="D29" s="3"/>
      <c r="E29" s="2"/>
      <c r="F29" s="2"/>
      <c r="G29" s="2"/>
      <c r="H29" s="2"/>
      <c r="I29" s="2"/>
      <c r="J29" s="2"/>
      <c r="K29" s="2"/>
      <c r="L29" s="2"/>
      <c r="M29" s="2"/>
      <c r="N29" s="2"/>
      <c r="O29" s="2"/>
    </row>
    <row r="30" spans="1:15" x14ac:dyDescent="0.25">
      <c r="A30" s="3"/>
      <c r="B30" s="2"/>
      <c r="C30" s="2"/>
      <c r="D30" s="3"/>
      <c r="E30" s="2"/>
      <c r="F30" s="2"/>
      <c r="G30" s="2"/>
      <c r="H30" s="2"/>
      <c r="I30" s="2"/>
      <c r="J30" s="2"/>
      <c r="K30" s="2"/>
      <c r="L30" s="2"/>
      <c r="M30" s="2"/>
      <c r="N30" s="2"/>
      <c r="O30" s="2"/>
    </row>
  </sheetData>
  <sheetProtection algorithmName="SHA-512" hashValue="QVmnH+M91synBW10itsORwH1Qhq4q1h+n5aUQ8UzlF6ddKQcF4z0K39x4+pYhoFcckLElMJYOvnGcDQshCpcJg==" saltValue="uK1WxuPJGXAN53QDSy8iTQ==" spinCount="100000" sheet="1" formatRows="0" selectLockedCells="1"/>
  <mergeCells count="11">
    <mergeCell ref="I11:K14"/>
    <mergeCell ref="A5:O5"/>
    <mergeCell ref="A16:D16"/>
    <mergeCell ref="E11:G14"/>
    <mergeCell ref="A11:C14"/>
    <mergeCell ref="A7:O8"/>
    <mergeCell ref="A1:O3"/>
    <mergeCell ref="A4:O4"/>
    <mergeCell ref="A10:C10"/>
    <mergeCell ref="E10:G10"/>
    <mergeCell ref="I10:K10"/>
  </mergeCells>
  <conditionalFormatting sqref="D10">
    <cfRule type="expression" dxfId="1" priority="2">
      <formula>OR($A10="",$C10="")</formula>
    </cfRule>
  </conditionalFormatting>
  <conditionalFormatting sqref="D11:D15 D17:D30">
    <cfRule type="expression" dxfId="0" priority="1">
      <formula>OR($B11="",$C11="")</formula>
    </cfRule>
  </conditionalFormatting>
  <pageMargins left="0.19685039370078741" right="0.19685039370078741" top="0.74803149606299213" bottom="0.74803149606299213" header="0.31496062992125984" footer="0.31496062992125984"/>
  <pageSetup paperSize="9" orientation="landscape" horizontalDpi="4294967293"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85CD2-CD92-4801-AFF9-E89F2CE14903}">
  <sheetPr codeName="Tabelle6">
    <tabColor rgb="FF007CAA"/>
    <outlinePr summaryBelow="0"/>
  </sheetPr>
  <dimension ref="A1:P29"/>
  <sheetViews>
    <sheetView showGridLines="0" showRowColHeaders="0" zoomScale="120" zoomScaleNormal="120" workbookViewId="0">
      <selection activeCell="D8" sqref="D8:E10"/>
      <extLst>
        <ext xmlns:xlsdti="http://schemas.microsoft.com/office/spreadsheetml/2023/showDataTypeIcons" uri="{77bfe23e-c014-4d31-8a63-9c772dbf06b6}">
          <xlsdti:showDataTypeIcons visible="0"/>
        </ext>
      </extLst>
    </sheetView>
    <sheetView showGridLines="0" showRowColHeaders="0" zoomScale="120" zoomScaleNormal="120" workbookViewId="1">
      <selection activeCell="D8" sqref="D8:E10"/>
    </sheetView>
  </sheetViews>
  <sheetFormatPr baseColWidth="10" defaultColWidth="11.5703125" defaultRowHeight="15" outlineLevelRow="1" x14ac:dyDescent="0.25"/>
  <cols>
    <col min="1" max="15" width="8.85546875" style="1" customWidth="1"/>
    <col min="16" max="16" width="10" style="1" customWidth="1"/>
    <col min="17" max="20" width="8.85546875" style="1" customWidth="1"/>
    <col min="21" max="16384" width="11.5703125" style="1"/>
  </cols>
  <sheetData>
    <row r="1" spans="1:16" ht="18" customHeight="1" x14ac:dyDescent="0.25">
      <c r="A1" s="134" t="s">
        <v>165</v>
      </c>
      <c r="B1" s="134"/>
      <c r="C1" s="134"/>
      <c r="D1" s="134"/>
      <c r="E1" s="134"/>
      <c r="F1" s="134"/>
      <c r="G1" s="134"/>
      <c r="H1" s="134"/>
      <c r="I1" s="134"/>
      <c r="J1" s="134"/>
      <c r="K1" s="134"/>
      <c r="L1" s="134"/>
      <c r="M1" s="134"/>
      <c r="N1" s="134"/>
      <c r="O1" s="134"/>
      <c r="P1" s="134"/>
    </row>
    <row r="2" spans="1:16" ht="18" customHeight="1" x14ac:dyDescent="0.25">
      <c r="A2" s="134"/>
      <c r="B2" s="134"/>
      <c r="C2" s="134"/>
      <c r="D2" s="134"/>
      <c r="E2" s="134"/>
      <c r="F2" s="134"/>
      <c r="G2" s="134"/>
      <c r="H2" s="134"/>
      <c r="I2" s="134"/>
      <c r="J2" s="134"/>
      <c r="K2" s="134"/>
      <c r="L2" s="134"/>
      <c r="M2" s="134"/>
      <c r="N2" s="134"/>
      <c r="O2" s="134"/>
      <c r="P2" s="134"/>
    </row>
    <row r="3" spans="1:16" ht="18" customHeight="1" x14ac:dyDescent="0.25">
      <c r="A3" s="134"/>
      <c r="B3" s="134"/>
      <c r="C3" s="134"/>
      <c r="D3" s="134"/>
      <c r="E3" s="134"/>
      <c r="F3" s="134"/>
      <c r="G3" s="134"/>
      <c r="H3" s="134"/>
      <c r="I3" s="134"/>
      <c r="J3" s="134"/>
      <c r="K3" s="134"/>
      <c r="L3" s="134"/>
      <c r="M3" s="134"/>
      <c r="N3" s="134"/>
      <c r="O3" s="134"/>
      <c r="P3" s="134"/>
    </row>
    <row r="4" spans="1:16" collapsed="1" x14ac:dyDescent="0.25">
      <c r="A4" s="136" t="s">
        <v>172</v>
      </c>
      <c r="B4" s="136"/>
      <c r="C4" s="140"/>
      <c r="D4" s="140"/>
      <c r="E4" s="140"/>
      <c r="F4" s="140"/>
      <c r="G4" s="140"/>
      <c r="H4" s="140"/>
      <c r="I4" s="140"/>
      <c r="J4" s="140"/>
      <c r="K4" s="140"/>
      <c r="L4" s="140"/>
      <c r="M4" s="140"/>
      <c r="N4" s="140"/>
      <c r="O4" s="140"/>
      <c r="P4" s="140"/>
    </row>
    <row r="5" spans="1:16" ht="116.25" hidden="1" customHeight="1" outlineLevel="1" x14ac:dyDescent="0.25">
      <c r="A5" s="138" t="s">
        <v>168</v>
      </c>
      <c r="B5" s="138"/>
      <c r="C5" s="141"/>
      <c r="D5" s="141"/>
      <c r="E5" s="141"/>
      <c r="F5" s="141"/>
      <c r="G5" s="141"/>
      <c r="H5" s="141"/>
      <c r="I5" s="141"/>
      <c r="J5" s="141"/>
      <c r="K5" s="141"/>
      <c r="L5" s="141"/>
      <c r="M5" s="141"/>
      <c r="N5" s="141"/>
      <c r="O5" s="141"/>
      <c r="P5" s="141"/>
    </row>
    <row r="6" spans="1:16" ht="6" customHeight="1" collapsed="1" x14ac:dyDescent="0.25">
      <c r="A6" s="2"/>
      <c r="B6" s="2"/>
      <c r="C6" s="2"/>
      <c r="D6" s="2"/>
      <c r="E6" s="2"/>
      <c r="F6" s="2"/>
      <c r="G6" s="2"/>
      <c r="H6" s="2"/>
      <c r="I6" s="2"/>
      <c r="J6" s="2"/>
      <c r="K6" s="2"/>
      <c r="L6" s="2"/>
      <c r="M6" s="2"/>
      <c r="N6" s="2"/>
      <c r="O6" s="2"/>
      <c r="P6" s="2"/>
    </row>
    <row r="7" spans="1:16" ht="18" customHeight="1" x14ac:dyDescent="0.25">
      <c r="A7" s="204" t="s">
        <v>19</v>
      </c>
      <c r="B7" s="204"/>
      <c r="C7" s="2"/>
      <c r="D7" s="204" t="s">
        <v>20</v>
      </c>
      <c r="E7" s="204"/>
      <c r="F7" s="2"/>
      <c r="G7" s="2"/>
      <c r="H7" s="2"/>
      <c r="I7" s="2"/>
      <c r="J7" s="2"/>
      <c r="K7" s="2"/>
      <c r="L7" s="2"/>
      <c r="M7" s="2"/>
      <c r="N7" s="2"/>
      <c r="O7" s="2"/>
      <c r="P7" s="2"/>
    </row>
    <row r="8" spans="1:16" ht="18" customHeight="1" x14ac:dyDescent="0.25">
      <c r="A8" s="205" t="s">
        <v>62</v>
      </c>
      <c r="B8" s="206"/>
      <c r="C8" s="2"/>
      <c r="D8" s="205" t="s">
        <v>63</v>
      </c>
      <c r="E8" s="206"/>
      <c r="F8" s="2"/>
      <c r="G8" s="2"/>
      <c r="H8" s="2"/>
      <c r="I8" s="2"/>
      <c r="J8" s="2"/>
      <c r="K8" s="2"/>
      <c r="L8" s="2"/>
      <c r="M8" s="2"/>
      <c r="N8" s="2"/>
      <c r="O8" s="2"/>
      <c r="P8" s="2"/>
    </row>
    <row r="9" spans="1:16" ht="18" customHeight="1" x14ac:dyDescent="0.25">
      <c r="A9" s="207"/>
      <c r="B9" s="208"/>
      <c r="C9" s="2"/>
      <c r="D9" s="207"/>
      <c r="E9" s="208"/>
      <c r="F9" s="2"/>
      <c r="G9" s="2"/>
      <c r="H9" s="2"/>
      <c r="I9" s="2"/>
      <c r="J9" s="2"/>
      <c r="K9" s="2"/>
      <c r="L9" s="2"/>
      <c r="M9" s="50"/>
      <c r="N9" s="2"/>
      <c r="O9" s="2"/>
      <c r="P9" s="2"/>
    </row>
    <row r="10" spans="1:16" ht="18" customHeight="1" x14ac:dyDescent="0.25">
      <c r="A10" s="209"/>
      <c r="B10" s="210"/>
      <c r="C10" s="2"/>
      <c r="D10" s="209"/>
      <c r="E10" s="210"/>
      <c r="F10" s="2"/>
      <c r="G10" s="2"/>
      <c r="H10" s="2"/>
      <c r="I10" s="2"/>
      <c r="J10" s="2"/>
      <c r="K10" s="2"/>
      <c r="L10" s="2"/>
      <c r="M10" s="50"/>
      <c r="N10" s="2"/>
      <c r="O10" s="2"/>
      <c r="P10" s="2"/>
    </row>
    <row r="11" spans="1:16" ht="18" customHeight="1" x14ac:dyDescent="0.25">
      <c r="A11" s="2"/>
      <c r="B11" s="2"/>
      <c r="C11" s="2"/>
      <c r="D11" s="2"/>
      <c r="E11" s="2"/>
      <c r="F11" s="2"/>
      <c r="G11" s="2"/>
      <c r="H11" s="2"/>
      <c r="I11" s="2"/>
      <c r="J11" s="2"/>
      <c r="K11" s="2"/>
      <c r="L11" s="2"/>
      <c r="M11" s="50"/>
      <c r="N11" s="2"/>
      <c r="O11" s="2"/>
      <c r="P11" s="2"/>
    </row>
    <row r="12" spans="1:16" ht="18" customHeight="1" thickBot="1" x14ac:dyDescent="0.3">
      <c r="A12" s="195" t="s">
        <v>80</v>
      </c>
      <c r="B12" s="195"/>
      <c r="C12" s="195"/>
      <c r="D12" s="195"/>
      <c r="E12" s="195"/>
      <c r="F12" s="2"/>
      <c r="G12" s="2"/>
      <c r="H12" s="2"/>
      <c r="I12" s="2"/>
      <c r="J12" s="2"/>
      <c r="K12" s="2"/>
      <c r="L12" s="2"/>
      <c r="M12" s="2"/>
      <c r="N12" s="2"/>
      <c r="O12" s="2"/>
      <c r="P12" s="2"/>
    </row>
    <row r="13" spans="1:16" ht="18" customHeight="1" thickBot="1" x14ac:dyDescent="0.3">
      <c r="A13" s="192" t="s">
        <v>97</v>
      </c>
      <c r="B13" s="192"/>
      <c r="C13" s="48"/>
      <c r="D13" s="192" t="s">
        <v>98</v>
      </c>
      <c r="E13" s="192"/>
      <c r="F13" s="2"/>
      <c r="G13" s="2"/>
      <c r="H13" s="2"/>
      <c r="I13" s="2"/>
      <c r="J13" s="2"/>
      <c r="K13" s="2"/>
      <c r="L13" s="2"/>
      <c r="M13" s="2"/>
      <c r="N13" s="2"/>
      <c r="O13" s="2"/>
      <c r="P13" s="2"/>
    </row>
    <row r="14" spans="1:16" ht="18" customHeight="1" x14ac:dyDescent="0.25">
      <c r="A14" s="198">
        <v>-21.572500000000002</v>
      </c>
      <c r="B14" s="199"/>
      <c r="C14" s="49" t="s">
        <v>7</v>
      </c>
      <c r="D14" s="202">
        <f>Tools!B556</f>
        <v>22.325085738267056</v>
      </c>
      <c r="E14" s="202"/>
      <c r="F14" s="2"/>
      <c r="G14" s="2"/>
      <c r="H14" s="2"/>
      <c r="I14" s="2"/>
      <c r="J14" s="2"/>
      <c r="K14" s="2"/>
      <c r="L14" s="2"/>
      <c r="M14" s="2"/>
      <c r="N14" s="2"/>
      <c r="O14" s="2"/>
      <c r="P14" s="2"/>
    </row>
    <row r="15" spans="1:16" ht="18" customHeight="1" x14ac:dyDescent="0.25">
      <c r="A15" s="200">
        <v>0.34195399999999998</v>
      </c>
      <c r="B15" s="201"/>
      <c r="C15" s="3" t="s">
        <v>8</v>
      </c>
      <c r="D15" s="203">
        <f>Tools!C556</f>
        <v>42.363144343031301</v>
      </c>
      <c r="E15" s="203"/>
      <c r="F15" s="2"/>
      <c r="G15" s="2"/>
      <c r="H15" s="2"/>
      <c r="I15" s="2"/>
      <c r="J15" s="2"/>
      <c r="K15" s="2"/>
      <c r="L15" s="2"/>
      <c r="M15" s="2"/>
      <c r="N15" s="2"/>
      <c r="O15" s="2"/>
      <c r="P15" s="2"/>
    </row>
    <row r="16" spans="1:16" ht="18" customHeight="1" x14ac:dyDescent="0.25">
      <c r="A16" s="200">
        <v>-1.82446E-3</v>
      </c>
      <c r="B16" s="201"/>
      <c r="C16" s="3" t="s">
        <v>9</v>
      </c>
      <c r="D16" s="203">
        <f>Tools!D556</f>
        <v>15.984332781855716</v>
      </c>
      <c r="E16" s="203"/>
      <c r="F16" s="2"/>
      <c r="G16" s="2"/>
      <c r="H16" s="2"/>
      <c r="I16" s="2"/>
      <c r="J16" s="2"/>
      <c r="K16" s="2"/>
      <c r="L16" s="2"/>
      <c r="M16" s="2"/>
      <c r="N16" s="2"/>
      <c r="O16" s="2"/>
      <c r="P16" s="2"/>
    </row>
    <row r="17" spans="1:16" ht="18" customHeight="1" x14ac:dyDescent="0.25">
      <c r="A17" s="200">
        <v>5.2874100000000003E-6</v>
      </c>
      <c r="B17" s="201"/>
      <c r="C17" s="3" t="s">
        <v>10</v>
      </c>
      <c r="D17" s="203">
        <f>Tools!E556</f>
        <v>41.862661735625579</v>
      </c>
      <c r="E17" s="203"/>
      <c r="F17" s="2"/>
      <c r="G17" s="2"/>
      <c r="H17" s="2"/>
      <c r="I17" s="2"/>
      <c r="J17" s="2"/>
      <c r="K17" s="2"/>
      <c r="L17" s="2"/>
      <c r="M17" s="2"/>
      <c r="N17" s="2"/>
      <c r="O17" s="2"/>
      <c r="P17" s="2"/>
    </row>
    <row r="18" spans="1:16" ht="18" customHeight="1" x14ac:dyDescent="0.25">
      <c r="A18" s="200">
        <v>-7.0180599999999996E-9</v>
      </c>
      <c r="B18" s="201"/>
      <c r="C18" s="3" t="s">
        <v>11</v>
      </c>
      <c r="D18" s="203">
        <f>Tools!F556</f>
        <v>182.93140935633411</v>
      </c>
      <c r="E18" s="203"/>
      <c r="F18" s="2"/>
      <c r="G18" s="2"/>
      <c r="H18" s="2"/>
      <c r="I18" s="2"/>
      <c r="J18" s="2"/>
      <c r="K18" s="2"/>
      <c r="L18" s="2"/>
      <c r="M18" s="2"/>
      <c r="N18" s="2"/>
      <c r="O18" s="2"/>
      <c r="P18" s="2"/>
    </row>
    <row r="19" spans="1:16" ht="18" customHeight="1" x14ac:dyDescent="0.25">
      <c r="A19" s="200">
        <v>3.6105500000000002E-12</v>
      </c>
      <c r="B19" s="201"/>
      <c r="C19" s="3" t="s">
        <v>12</v>
      </c>
      <c r="D19" s="203">
        <f>Tools!G556</f>
        <v>163.79764888110995</v>
      </c>
      <c r="E19" s="203"/>
      <c r="F19" s="2"/>
      <c r="G19" s="2"/>
      <c r="H19" s="2"/>
      <c r="I19" s="2"/>
      <c r="J19" s="2"/>
      <c r="K19" s="2"/>
      <c r="L19" s="2"/>
      <c r="M19" s="2"/>
      <c r="N19" s="2"/>
      <c r="O19" s="2"/>
      <c r="P19" s="2"/>
    </row>
    <row r="20" spans="1:16" ht="18" customHeight="1" x14ac:dyDescent="0.25">
      <c r="A20" s="2"/>
      <c r="B20" s="2"/>
      <c r="C20" s="2"/>
      <c r="D20" s="2"/>
      <c r="E20" s="2"/>
      <c r="F20" s="2"/>
      <c r="G20" s="2"/>
      <c r="H20" s="2"/>
      <c r="I20" s="2"/>
      <c r="J20" s="2"/>
      <c r="K20" s="2"/>
      <c r="L20" s="2"/>
      <c r="M20" s="2"/>
      <c r="N20" s="2"/>
      <c r="O20" s="2"/>
      <c r="P20" s="2"/>
    </row>
    <row r="21" spans="1:16" ht="18" customHeight="1" thickBot="1" x14ac:dyDescent="0.3">
      <c r="A21" s="195" t="s">
        <v>101</v>
      </c>
      <c r="B21" s="195"/>
      <c r="C21" s="195"/>
      <c r="D21" s="195"/>
      <c r="E21" s="2"/>
      <c r="F21" s="2"/>
      <c r="G21" s="2"/>
      <c r="H21" s="2"/>
      <c r="I21" s="2"/>
      <c r="J21" s="2"/>
      <c r="K21" s="2"/>
      <c r="L21" s="2"/>
      <c r="M21" s="2"/>
      <c r="N21" s="2"/>
      <c r="O21" s="2"/>
      <c r="P21" s="2"/>
    </row>
    <row r="22" spans="1:16" ht="18" customHeight="1" x14ac:dyDescent="0.25">
      <c r="A22" s="211" t="s">
        <v>102</v>
      </c>
      <c r="B22" s="194"/>
      <c r="C22" s="32">
        <v>1.4</v>
      </c>
      <c r="D22" s="49" t="s">
        <v>18</v>
      </c>
      <c r="E22" s="2"/>
      <c r="F22" s="2"/>
      <c r="G22" s="2"/>
      <c r="H22" s="2"/>
      <c r="I22" s="2"/>
      <c r="J22" s="2"/>
      <c r="K22" s="2"/>
      <c r="L22" s="2"/>
      <c r="M22" s="2"/>
      <c r="N22" s="2"/>
      <c r="O22" s="2"/>
      <c r="P22" s="2"/>
    </row>
    <row r="23" spans="1:16" ht="18" customHeight="1" x14ac:dyDescent="0.25">
      <c r="A23" s="212" t="s">
        <v>103</v>
      </c>
      <c r="B23" s="212"/>
      <c r="C23" s="3">
        <v>1</v>
      </c>
      <c r="D23" s="3" t="s">
        <v>18</v>
      </c>
      <c r="E23" s="2"/>
      <c r="F23" s="2"/>
      <c r="G23" s="2"/>
      <c r="H23" s="2"/>
      <c r="I23" s="2"/>
      <c r="J23" s="2"/>
      <c r="K23" s="2"/>
      <c r="L23" s="2"/>
      <c r="M23" s="2"/>
      <c r="N23" s="2"/>
      <c r="O23" s="2"/>
      <c r="P23" s="2"/>
    </row>
    <row r="24" spans="1:16" ht="18" customHeight="1" x14ac:dyDescent="0.25">
      <c r="A24" s="212" t="s">
        <v>104</v>
      </c>
      <c r="B24" s="212"/>
      <c r="C24" s="52">
        <f>C22/C23</f>
        <v>1.4</v>
      </c>
      <c r="D24" s="53" t="s">
        <v>51</v>
      </c>
      <c r="E24" s="2"/>
      <c r="F24" s="2"/>
      <c r="G24" s="2"/>
      <c r="H24" s="2"/>
      <c r="I24" s="2"/>
      <c r="J24" s="2"/>
      <c r="K24" s="2"/>
      <c r="L24" s="2"/>
      <c r="M24" s="2"/>
      <c r="N24" s="2"/>
      <c r="O24" s="2"/>
      <c r="P24" s="2"/>
    </row>
    <row r="25" spans="1:16" ht="18" customHeight="1" x14ac:dyDescent="0.25">
      <c r="A25" s="193" t="s">
        <v>1</v>
      </c>
      <c r="B25" s="193"/>
      <c r="C25" s="213" t="s">
        <v>100</v>
      </c>
      <c r="D25" s="213"/>
      <c r="E25" s="2"/>
      <c r="F25" s="2"/>
      <c r="G25" s="2"/>
      <c r="H25" s="2"/>
      <c r="I25" s="2"/>
      <c r="J25" s="2"/>
      <c r="K25" s="2"/>
      <c r="L25" s="2"/>
      <c r="M25" s="2"/>
      <c r="N25" s="2"/>
      <c r="O25" s="2"/>
      <c r="P25" s="2"/>
    </row>
    <row r="26" spans="1:16" ht="18" customHeight="1" x14ac:dyDescent="0.25">
      <c r="A26" s="2"/>
      <c r="B26" s="2"/>
      <c r="C26" s="2"/>
      <c r="D26" s="2"/>
      <c r="E26" s="2"/>
      <c r="F26" s="2"/>
      <c r="G26" s="2"/>
      <c r="H26" s="2"/>
      <c r="I26" s="2"/>
      <c r="J26" s="2"/>
      <c r="K26" s="2"/>
      <c r="L26" s="2"/>
      <c r="M26" s="2"/>
      <c r="N26" s="2"/>
      <c r="O26" s="2"/>
      <c r="P26" s="2"/>
    </row>
    <row r="27" spans="1:16" ht="18" customHeight="1" thickBot="1" x14ac:dyDescent="0.3">
      <c r="A27" s="195" t="s">
        <v>110</v>
      </c>
      <c r="B27" s="195"/>
      <c r="C27" s="195"/>
      <c r="D27" s="195"/>
      <c r="E27" s="2"/>
      <c r="F27" s="2"/>
      <c r="G27" s="54" t="s">
        <v>107</v>
      </c>
      <c r="H27" s="51" t="s">
        <v>108</v>
      </c>
      <c r="I27" s="55">
        <v>500</v>
      </c>
      <c r="J27" s="196" t="s">
        <v>95</v>
      </c>
      <c r="K27" s="196"/>
      <c r="L27" s="56">
        <f>IF(Tools!C568&lt;0,0,IF(Tools!C568&gt;100,100/100,Tools!C568/100))</f>
        <v>0.28416687499999993</v>
      </c>
      <c r="M27" s="197" t="s">
        <v>96</v>
      </c>
      <c r="N27" s="197"/>
      <c r="O27" s="57">
        <f>IF(Tools!C569&lt;0,0,IF(Tools!C569&gt;100,100/100,Tools!C569/100))</f>
        <v>0.22325085738267056</v>
      </c>
      <c r="P27" s="2"/>
    </row>
    <row r="28" spans="1:16" ht="18" customHeight="1" x14ac:dyDescent="0.25">
      <c r="A28" s="214" t="s">
        <v>105</v>
      </c>
      <c r="B28" s="214"/>
      <c r="C28" s="215">
        <v>0</v>
      </c>
      <c r="D28" s="215"/>
      <c r="E28" s="2"/>
      <c r="F28" s="2"/>
      <c r="G28" s="2"/>
      <c r="H28" s="2"/>
      <c r="I28" s="2"/>
      <c r="J28" s="2"/>
      <c r="K28" s="2"/>
      <c r="L28" s="2"/>
      <c r="M28" s="2"/>
      <c r="N28" s="2"/>
      <c r="O28" s="2"/>
      <c r="P28" s="2"/>
    </row>
    <row r="29" spans="1:16" ht="18" customHeight="1" x14ac:dyDescent="0.25">
      <c r="A29" s="193" t="s">
        <v>106</v>
      </c>
      <c r="B29" s="193"/>
      <c r="C29" s="213">
        <v>100</v>
      </c>
      <c r="D29" s="213"/>
      <c r="E29" s="2"/>
      <c r="F29" s="2"/>
      <c r="G29" s="2"/>
      <c r="H29" s="2"/>
      <c r="I29" s="2"/>
      <c r="J29" s="2"/>
      <c r="K29" s="2"/>
      <c r="L29" s="2"/>
      <c r="M29" s="2"/>
      <c r="N29" s="2"/>
      <c r="O29" s="47" t="s">
        <v>36</v>
      </c>
      <c r="P29" s="46">
        <f>Tools!B558</f>
        <v>0.99994620925353861</v>
      </c>
    </row>
  </sheetData>
  <sheetProtection algorithmName="SHA-512" hashValue="Xv4Btlta0Rm9Oh3g5tpIdoWOHIqbVX7ymFrjbI9MYMWX9SyzQ72hXevP5Mn5gyi7mJl0gojrRbumPUro7+ncZg==" saltValue="ajEU55aT/lx6V6q3ielUuw==" spinCount="100000" sheet="1" objects="1" formatRows="0" selectLockedCells="1"/>
  <mergeCells count="35">
    <mergeCell ref="A21:D21"/>
    <mergeCell ref="A22:B22"/>
    <mergeCell ref="A23:B23"/>
    <mergeCell ref="A24:B24"/>
    <mergeCell ref="A29:B29"/>
    <mergeCell ref="C29:D29"/>
    <mergeCell ref="A25:B25"/>
    <mergeCell ref="C25:D25"/>
    <mergeCell ref="A27:D27"/>
    <mergeCell ref="A28:B28"/>
    <mergeCell ref="C28:D28"/>
    <mergeCell ref="D19:E19"/>
    <mergeCell ref="A13:B13"/>
    <mergeCell ref="D13:E13"/>
    <mergeCell ref="D7:E7"/>
    <mergeCell ref="D8:E10"/>
    <mergeCell ref="A8:B10"/>
    <mergeCell ref="A7:B7"/>
    <mergeCell ref="A12:E12"/>
    <mergeCell ref="A1:P3"/>
    <mergeCell ref="A4:P4"/>
    <mergeCell ref="A5:P5"/>
    <mergeCell ref="J27:K27"/>
    <mergeCell ref="M27:N27"/>
    <mergeCell ref="A14:B14"/>
    <mergeCell ref="A15:B15"/>
    <mergeCell ref="D14:E14"/>
    <mergeCell ref="D15:E15"/>
    <mergeCell ref="A16:B16"/>
    <mergeCell ref="A17:B17"/>
    <mergeCell ref="A18:B18"/>
    <mergeCell ref="A19:B19"/>
    <mergeCell ref="D16:E16"/>
    <mergeCell ref="D17:E17"/>
    <mergeCell ref="D18:E18"/>
  </mergeCells>
  <dataValidations count="2">
    <dataValidation type="list" allowBlank="1" showInputMessage="1" showErrorMessage="1" sqref="D8 A8" xr:uid="{72802967-DE10-4959-B338-53DEAD34E61A}">
      <formula1>"Volumetric (Total),Volumetric (Dry),Gravimetric (Total),Gravimetric (Dry)"</formula1>
    </dataValidation>
    <dataValidation type="list" allowBlank="1" showInputMessage="1" showErrorMessage="1" sqref="C25" xr:uid="{0F10F268-5540-49A5-AC77-B81FCF5CA767}">
      <formula1>"Linear,Polynomial [2],Polynomial [3],Polynomial [4],Polynomial [5]"</formula1>
    </dataValidation>
  </dataValidations>
  <pageMargins left="0.19685039370078741" right="0.19685039370078741" top="0.74803149606299213" bottom="0.74803149606299213" header="0.31496062992125984" footer="0.31496062992125984"/>
  <pageSetup paperSize="9" orientation="landscape" horizontalDpi="4294967293" verticalDpi="4294967293" r:id="rId1"/>
  <ignoredErrors>
    <ignoredError sqref="D14:E19"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C696B-111B-46EF-AD4B-F8460501310F}">
  <sheetPr codeName="Tabelle8">
    <tabColor rgb="FFFFFF00"/>
    <outlinePr summaryBelow="0" summaryRight="0"/>
  </sheetPr>
  <dimension ref="A1:Y571"/>
  <sheetViews>
    <sheetView showGridLines="0" topLeftCell="A544" zoomScale="85" zoomScaleNormal="85" workbookViewId="0">
      <selection activeCell="C569" sqref="C569"/>
    </sheetView>
    <sheetView topLeftCell="A537" zoomScaleNormal="100" workbookViewId="1">
      <selection activeCell="B350" sqref="B350:B449"/>
    </sheetView>
  </sheetViews>
  <sheetFormatPr baseColWidth="10" defaultRowHeight="15" outlineLevelRow="1" x14ac:dyDescent="0.25"/>
  <cols>
    <col min="1" max="1" width="4.7109375" customWidth="1"/>
    <col min="2" max="2" width="16.42578125" bestFit="1" customWidth="1"/>
    <col min="3" max="8" width="13" customWidth="1"/>
    <col min="10" max="10" width="11.7109375" bestFit="1" customWidth="1"/>
    <col min="18" max="19" width="14" customWidth="1"/>
    <col min="21" max="21" width="13.42578125" bestFit="1" customWidth="1"/>
  </cols>
  <sheetData>
    <row r="1" spans="1:16" x14ac:dyDescent="0.25">
      <c r="A1" s="134" t="s">
        <v>117</v>
      </c>
      <c r="B1" s="134"/>
      <c r="C1" s="134"/>
      <c r="D1" s="134"/>
      <c r="E1" s="134"/>
      <c r="F1" s="134"/>
      <c r="G1" s="134"/>
      <c r="H1" s="134"/>
      <c r="I1" s="134"/>
      <c r="J1" s="134"/>
      <c r="K1" s="134"/>
      <c r="L1" s="134"/>
      <c r="M1" s="134"/>
      <c r="N1" s="134"/>
      <c r="O1" s="134"/>
      <c r="P1" s="134"/>
    </row>
    <row r="2" spans="1:16" x14ac:dyDescent="0.25">
      <c r="A2" s="134"/>
      <c r="B2" s="134"/>
      <c r="C2" s="134"/>
      <c r="D2" s="134"/>
      <c r="E2" s="134"/>
      <c r="F2" s="134"/>
      <c r="G2" s="134"/>
      <c r="H2" s="134"/>
      <c r="I2" s="134"/>
      <c r="J2" s="134"/>
      <c r="K2" s="134"/>
      <c r="L2" s="134"/>
      <c r="M2" s="134"/>
      <c r="N2" s="134"/>
      <c r="O2" s="134"/>
      <c r="P2" s="134"/>
    </row>
    <row r="3" spans="1:16" x14ac:dyDescent="0.25">
      <c r="A3" s="134"/>
      <c r="B3" s="134"/>
      <c r="C3" s="134"/>
      <c r="D3" s="134"/>
      <c r="E3" s="134"/>
      <c r="F3" s="134"/>
      <c r="G3" s="134"/>
      <c r="H3" s="134"/>
      <c r="I3" s="134"/>
      <c r="J3" s="134"/>
      <c r="K3" s="134"/>
      <c r="L3" s="134"/>
      <c r="M3" s="134"/>
      <c r="N3" s="134"/>
      <c r="O3" s="134"/>
      <c r="P3" s="134"/>
    </row>
    <row r="4" spans="1:16" ht="7.5" customHeight="1" x14ac:dyDescent="0.25"/>
    <row r="5" spans="1:16" ht="22.5" customHeight="1" x14ac:dyDescent="0.25">
      <c r="A5" s="220" t="s">
        <v>118</v>
      </c>
      <c r="B5" s="220"/>
      <c r="C5" s="220"/>
      <c r="D5" s="220"/>
      <c r="E5" s="60"/>
      <c r="F5" s="60"/>
      <c r="G5" s="60"/>
      <c r="H5" s="60"/>
      <c r="I5" s="60"/>
      <c r="J5" s="60"/>
      <c r="K5" s="60"/>
      <c r="L5" s="60"/>
      <c r="M5" s="60"/>
      <c r="N5" s="60"/>
      <c r="O5" s="60"/>
      <c r="P5" s="60"/>
    </row>
    <row r="6" spans="1:16" ht="15" customHeight="1" x14ac:dyDescent="0.25">
      <c r="A6" s="136" t="s">
        <v>139</v>
      </c>
      <c r="B6" s="136"/>
      <c r="C6" s="140"/>
      <c r="D6" s="140"/>
      <c r="E6" s="140"/>
      <c r="F6" s="140"/>
      <c r="G6" s="140"/>
      <c r="H6" s="140"/>
      <c r="I6" s="140"/>
      <c r="J6" s="140"/>
      <c r="K6" s="140"/>
      <c r="L6" s="140"/>
      <c r="M6" s="140"/>
      <c r="N6" s="140"/>
      <c r="O6" s="140"/>
      <c r="P6" s="140"/>
    </row>
    <row r="7" spans="1:16" ht="7.5" customHeight="1" outlineLevel="1" x14ac:dyDescent="0.3">
      <c r="A7" s="61"/>
    </row>
    <row r="8" spans="1:16" ht="15" customHeight="1" outlineLevel="1" x14ac:dyDescent="0.25">
      <c r="A8" s="62" t="s">
        <v>119</v>
      </c>
      <c r="B8" s="62"/>
      <c r="C8" s="62"/>
      <c r="D8" s="62"/>
      <c r="E8" s="62"/>
      <c r="F8" s="62"/>
      <c r="G8" s="62"/>
      <c r="H8" s="62"/>
      <c r="I8" s="62"/>
      <c r="J8" s="62"/>
      <c r="K8" s="62"/>
      <c r="L8" s="62"/>
      <c r="M8" s="62"/>
      <c r="N8" s="62"/>
      <c r="O8" s="62"/>
      <c r="P8" s="62"/>
    </row>
    <row r="9" spans="1:16" ht="15" customHeight="1" outlineLevel="1" x14ac:dyDescent="0.25">
      <c r="B9" t="s">
        <v>120</v>
      </c>
      <c r="C9" s="63">
        <f>Conversion!E9</f>
        <v>5.0200000000000002E-2</v>
      </c>
    </row>
    <row r="10" spans="1:16" ht="15" customHeight="1" outlineLevel="1" x14ac:dyDescent="0.25">
      <c r="B10" s="1" t="s">
        <v>50</v>
      </c>
      <c r="C10" s="64">
        <f>Conversion!B10</f>
        <v>1.4</v>
      </c>
    </row>
    <row r="11" spans="1:16" ht="15" customHeight="1" outlineLevel="1" x14ac:dyDescent="0.25">
      <c r="B11" t="s">
        <v>52</v>
      </c>
      <c r="C11" t="str">
        <f>Conversion!E8</f>
        <v>Volumetric (Total)</v>
      </c>
      <c r="E11" s="65">
        <f>MATCH(C11,{"Volumetric (Total)","Volumetric (Dry)","Gravimetric (Total)","Gravimetric (Dry)"},0)</f>
        <v>1</v>
      </c>
    </row>
    <row r="12" spans="1:16" ht="15" customHeight="1" outlineLevel="1" x14ac:dyDescent="0.25">
      <c r="B12" t="s">
        <v>57</v>
      </c>
      <c r="C12" t="str">
        <f>Conversion!I8</f>
        <v>Gravimetric (Total)</v>
      </c>
      <c r="E12" s="65">
        <f>MATCH(C12,{"Volumetric (Total)","Volumetric (Dry)","Gravimetric (Total)","Gravimetric (Dry)"},0)</f>
        <v>3</v>
      </c>
    </row>
    <row r="13" spans="1:16" ht="15" customHeight="1" outlineLevel="1" x14ac:dyDescent="0.25">
      <c r="B13" t="s">
        <v>121</v>
      </c>
      <c r="C13" s="65"/>
      <c r="D13" s="65"/>
      <c r="E13" s="65" t="str">
        <f>E11&amp;E12</f>
        <v>13</v>
      </c>
      <c r="F13" s="65"/>
      <c r="G13" s="65"/>
      <c r="H13" s="65"/>
    </row>
    <row r="14" spans="1:16" ht="15" customHeight="1" outlineLevel="1" x14ac:dyDescent="0.25">
      <c r="B14" s="65"/>
      <c r="C14" s="65"/>
      <c r="D14" s="65"/>
      <c r="F14" s="65"/>
      <c r="G14" s="65"/>
      <c r="H14" s="65"/>
    </row>
    <row r="15" spans="1:16" ht="15" customHeight="1" outlineLevel="1" x14ac:dyDescent="0.25">
      <c r="A15" s="62" t="s">
        <v>122</v>
      </c>
      <c r="B15" s="62"/>
      <c r="C15" s="62"/>
      <c r="D15" s="62"/>
      <c r="E15" s="62"/>
      <c r="F15" s="62"/>
      <c r="G15" s="62"/>
      <c r="H15" s="62"/>
      <c r="I15" s="62"/>
      <c r="J15" s="62"/>
      <c r="K15" s="62"/>
      <c r="L15" s="62"/>
      <c r="M15" s="62"/>
      <c r="N15" s="62"/>
      <c r="O15" s="62"/>
      <c r="P15" s="62"/>
    </row>
    <row r="16" spans="1:16" ht="15" customHeight="1" outlineLevel="1" x14ac:dyDescent="0.25">
      <c r="C16" s="66" t="s">
        <v>58</v>
      </c>
      <c r="D16" s="66" t="s">
        <v>59</v>
      </c>
      <c r="E16" s="66" t="s">
        <v>60</v>
      </c>
      <c r="F16" s="67" t="s">
        <v>61</v>
      </c>
      <c r="G16" s="65"/>
      <c r="H16" s="65"/>
    </row>
    <row r="17" spans="1:16" outlineLevel="1" x14ac:dyDescent="0.25">
      <c r="B17" s="67" t="s">
        <v>58</v>
      </c>
      <c r="C17" s="63">
        <f>C9</f>
        <v>5.0200000000000002E-2</v>
      </c>
      <c r="D17" s="63">
        <f>C9/(1-C9)</f>
        <v>5.2853232259423039E-2</v>
      </c>
      <c r="E17" s="63">
        <f>C9/(C10*(1-C9)+C9)</f>
        <v>3.6378920517131437E-2</v>
      </c>
      <c r="F17" s="63">
        <f>C9/(C10*(1-C9))</f>
        <v>3.7752308756730746E-2</v>
      </c>
      <c r="G17" s="65"/>
      <c r="H17" s="65"/>
    </row>
    <row r="18" spans="1:16" outlineLevel="1" x14ac:dyDescent="0.25">
      <c r="B18" s="67" t="s">
        <v>59</v>
      </c>
      <c r="C18" s="63">
        <f>C9/(1+C9)</f>
        <v>4.7800418967815651E-2</v>
      </c>
      <c r="D18" s="63">
        <f>C9</f>
        <v>5.0200000000000002E-2</v>
      </c>
      <c r="E18" s="63">
        <f>C9/(C10+C9)</f>
        <v>3.4615915046200527E-2</v>
      </c>
      <c r="F18" s="63">
        <f>C9/C10</f>
        <v>3.5857142857142858E-2</v>
      </c>
      <c r="G18" s="65"/>
      <c r="H18" s="65"/>
    </row>
    <row r="19" spans="1:16" outlineLevel="1" x14ac:dyDescent="0.25">
      <c r="B19" s="67" t="s">
        <v>60</v>
      </c>
      <c r="C19" s="63">
        <f>(C10*C9)/(1+(C10-1)*C9)</f>
        <v>6.8896557132773886E-2</v>
      </c>
      <c r="D19" s="63">
        <f>(C10*C9)/(1-C9)</f>
        <v>7.3994525163192243E-2</v>
      </c>
      <c r="E19" s="63">
        <f>C9</f>
        <v>5.0200000000000002E-2</v>
      </c>
      <c r="F19" s="63">
        <f>C9/(1-C9)</f>
        <v>5.2853232259423039E-2</v>
      </c>
      <c r="G19" s="65"/>
      <c r="H19" s="65"/>
    </row>
    <row r="20" spans="1:16" outlineLevel="1" x14ac:dyDescent="0.25">
      <c r="B20" s="67" t="s">
        <v>61</v>
      </c>
      <c r="C20" s="63">
        <f>(C10*C9)/(1+C10*C9)</f>
        <v>6.5665059610569204E-2</v>
      </c>
      <c r="D20" s="63">
        <f>C10*C9</f>
        <v>7.0279999999999995E-2</v>
      </c>
      <c r="E20" s="63">
        <f>C9/(1+C9)</f>
        <v>4.7800418967815651E-2</v>
      </c>
      <c r="F20" s="63">
        <f>C9</f>
        <v>5.0200000000000002E-2</v>
      </c>
      <c r="G20" s="65"/>
      <c r="H20" s="65"/>
    </row>
    <row r="21" spans="1:16" outlineLevel="1" x14ac:dyDescent="0.25">
      <c r="A21" s="67"/>
      <c r="B21" s="63"/>
      <c r="C21" s="63"/>
      <c r="D21" s="63"/>
      <c r="E21" s="63"/>
      <c r="F21" s="65"/>
      <c r="G21" s="65"/>
      <c r="H21" s="65"/>
    </row>
    <row r="22" spans="1:16" outlineLevel="1" x14ac:dyDescent="0.25">
      <c r="A22" s="62" t="s">
        <v>123</v>
      </c>
      <c r="B22" s="62"/>
      <c r="C22" s="62"/>
      <c r="D22" s="62"/>
      <c r="E22" s="62"/>
      <c r="F22" s="62"/>
      <c r="G22" s="62"/>
      <c r="H22" s="62"/>
      <c r="I22" s="62"/>
      <c r="J22" s="62"/>
      <c r="K22" s="62"/>
      <c r="L22" s="62"/>
      <c r="M22" s="62"/>
      <c r="N22" s="62"/>
      <c r="O22" s="62"/>
      <c r="P22" s="62"/>
    </row>
    <row r="23" spans="1:16" outlineLevel="1" x14ac:dyDescent="0.25">
      <c r="B23" s="68" t="s">
        <v>64</v>
      </c>
      <c r="C23" s="63">
        <f>C17</f>
        <v>5.0200000000000002E-2</v>
      </c>
      <c r="D23" s="63"/>
      <c r="E23" s="63"/>
      <c r="F23" s="65"/>
      <c r="G23" s="65"/>
      <c r="H23" s="65"/>
    </row>
    <row r="24" spans="1:16" outlineLevel="1" x14ac:dyDescent="0.25">
      <c r="B24" s="68" t="s">
        <v>65</v>
      </c>
      <c r="C24" s="63">
        <f>D17</f>
        <v>5.2853232259423039E-2</v>
      </c>
      <c r="D24" s="63"/>
      <c r="E24" s="63"/>
      <c r="F24" s="65"/>
      <c r="G24" s="65"/>
      <c r="H24" s="65"/>
    </row>
    <row r="25" spans="1:16" outlineLevel="1" x14ac:dyDescent="0.25">
      <c r="B25" s="68" t="s">
        <v>66</v>
      </c>
      <c r="C25" s="63">
        <f>E17</f>
        <v>3.6378920517131437E-2</v>
      </c>
      <c r="D25" s="63"/>
      <c r="E25" s="63"/>
      <c r="F25" s="65"/>
      <c r="G25" s="65"/>
      <c r="H25" s="65"/>
    </row>
    <row r="26" spans="1:16" outlineLevel="1" x14ac:dyDescent="0.25">
      <c r="B26" s="68" t="s">
        <v>67</v>
      </c>
      <c r="C26" s="63">
        <f>F17</f>
        <v>3.7752308756730746E-2</v>
      </c>
      <c r="D26" s="63"/>
      <c r="E26" s="63"/>
      <c r="F26" s="65"/>
      <c r="G26" s="65"/>
      <c r="H26" s="65"/>
    </row>
    <row r="27" spans="1:16" outlineLevel="1" x14ac:dyDescent="0.25">
      <c r="B27" s="68" t="s">
        <v>68</v>
      </c>
      <c r="C27" s="63">
        <f>C18</f>
        <v>4.7800418967815651E-2</v>
      </c>
      <c r="D27" s="63"/>
      <c r="E27" s="63"/>
      <c r="F27" s="65"/>
      <c r="G27" s="65"/>
      <c r="H27" s="65"/>
    </row>
    <row r="28" spans="1:16" outlineLevel="1" x14ac:dyDescent="0.25">
      <c r="B28" s="68" t="s">
        <v>69</v>
      </c>
      <c r="C28" s="63">
        <f>D18</f>
        <v>5.0200000000000002E-2</v>
      </c>
      <c r="D28" s="63"/>
      <c r="E28" s="63"/>
      <c r="F28" s="65"/>
      <c r="G28" s="65"/>
      <c r="H28" s="65"/>
    </row>
    <row r="29" spans="1:16" outlineLevel="1" x14ac:dyDescent="0.25">
      <c r="B29" s="68" t="s">
        <v>70</v>
      </c>
      <c r="C29" s="63">
        <f>E18</f>
        <v>3.4615915046200527E-2</v>
      </c>
      <c r="D29" s="63"/>
      <c r="E29" s="63"/>
      <c r="F29" s="65"/>
      <c r="G29" s="65"/>
      <c r="H29" s="65"/>
    </row>
    <row r="30" spans="1:16" outlineLevel="1" x14ac:dyDescent="0.25">
      <c r="B30" s="68" t="s">
        <v>71</v>
      </c>
      <c r="C30" s="63">
        <f>F18</f>
        <v>3.5857142857142858E-2</v>
      </c>
      <c r="D30" s="63"/>
      <c r="E30" s="63"/>
      <c r="F30" s="65"/>
      <c r="G30" s="65"/>
      <c r="H30" s="65"/>
    </row>
    <row r="31" spans="1:16" outlineLevel="1" x14ac:dyDescent="0.25">
      <c r="B31" s="68" t="s">
        <v>72</v>
      </c>
      <c r="C31" s="63">
        <f>C19</f>
        <v>6.8896557132773886E-2</v>
      </c>
      <c r="D31" s="63"/>
      <c r="E31" s="63"/>
      <c r="F31" s="65"/>
      <c r="G31" s="65"/>
      <c r="H31" s="65"/>
    </row>
    <row r="32" spans="1:16" outlineLevel="1" x14ac:dyDescent="0.25">
      <c r="B32" s="68" t="s">
        <v>73</v>
      </c>
      <c r="C32" s="63">
        <f>D19</f>
        <v>7.3994525163192243E-2</v>
      </c>
      <c r="D32" s="63"/>
      <c r="E32" s="63"/>
      <c r="F32" s="65"/>
      <c r="G32" s="65"/>
      <c r="H32" s="65"/>
    </row>
    <row r="33" spans="1:16" outlineLevel="1" x14ac:dyDescent="0.25">
      <c r="B33" s="68" t="s">
        <v>74</v>
      </c>
      <c r="C33" s="63">
        <f>E19</f>
        <v>5.0200000000000002E-2</v>
      </c>
      <c r="D33" s="63"/>
      <c r="E33" s="63"/>
      <c r="F33" s="65"/>
      <c r="G33" s="65"/>
      <c r="H33" s="65"/>
    </row>
    <row r="34" spans="1:16" outlineLevel="1" x14ac:dyDescent="0.25">
      <c r="B34" s="68" t="s">
        <v>75</v>
      </c>
      <c r="C34" s="63">
        <f>F19</f>
        <v>5.2853232259423039E-2</v>
      </c>
      <c r="D34" s="63"/>
      <c r="E34" s="63"/>
      <c r="F34" s="65"/>
      <c r="G34" s="65"/>
      <c r="H34" s="65"/>
    </row>
    <row r="35" spans="1:16" outlineLevel="1" x14ac:dyDescent="0.25">
      <c r="B35" s="68" t="s">
        <v>76</v>
      </c>
      <c r="C35" s="63">
        <f>C20</f>
        <v>6.5665059610569204E-2</v>
      </c>
      <c r="D35" s="63"/>
      <c r="E35" s="63"/>
      <c r="F35" s="65"/>
      <c r="G35" s="65"/>
      <c r="H35" s="65"/>
    </row>
    <row r="36" spans="1:16" outlineLevel="1" x14ac:dyDescent="0.25">
      <c r="B36" s="68" t="s">
        <v>77</v>
      </c>
      <c r="C36" s="63">
        <f>D20</f>
        <v>7.0279999999999995E-2</v>
      </c>
      <c r="D36" s="63"/>
      <c r="E36" s="63"/>
      <c r="F36" s="65"/>
      <c r="G36" s="65"/>
      <c r="H36" s="65"/>
    </row>
    <row r="37" spans="1:16" outlineLevel="1" x14ac:dyDescent="0.25">
      <c r="B37" s="68" t="s">
        <v>78</v>
      </c>
      <c r="C37" s="63">
        <f>E20</f>
        <v>4.7800418967815651E-2</v>
      </c>
      <c r="D37" s="63"/>
      <c r="E37" s="63"/>
      <c r="F37" s="65"/>
      <c r="G37" s="65"/>
      <c r="H37" s="65"/>
    </row>
    <row r="38" spans="1:16" outlineLevel="1" x14ac:dyDescent="0.25">
      <c r="B38" s="68" t="s">
        <v>79</v>
      </c>
      <c r="C38" s="63">
        <f>F20</f>
        <v>5.0200000000000002E-2</v>
      </c>
      <c r="D38" s="63"/>
      <c r="E38" s="63"/>
      <c r="F38" s="65"/>
      <c r="G38" s="65"/>
      <c r="H38" s="65"/>
    </row>
    <row r="39" spans="1:16" outlineLevel="1" x14ac:dyDescent="0.25">
      <c r="A39" s="67"/>
      <c r="B39" s="69" t="s">
        <v>124</v>
      </c>
      <c r="C39" s="70">
        <f>VLOOKUP(E13,B23:C38,2,TRUE)</f>
        <v>3.6378920517131437E-2</v>
      </c>
      <c r="D39" s="63"/>
      <c r="E39" s="63"/>
      <c r="F39" s="65"/>
      <c r="G39" s="65"/>
      <c r="H39" s="65"/>
    </row>
    <row r="40" spans="1:16" outlineLevel="1" x14ac:dyDescent="0.25">
      <c r="D40" s="63"/>
      <c r="E40" s="63"/>
      <c r="F40" s="65"/>
      <c r="G40" s="65"/>
      <c r="H40" s="65"/>
    </row>
    <row r="41" spans="1:16" outlineLevel="1" x14ac:dyDescent="0.25">
      <c r="A41" s="62" t="s">
        <v>125</v>
      </c>
      <c r="B41" s="62"/>
      <c r="C41" s="62"/>
      <c r="D41" s="62"/>
      <c r="E41" s="62"/>
      <c r="F41" s="62"/>
      <c r="G41" s="62"/>
      <c r="H41" s="62"/>
      <c r="I41" s="62"/>
      <c r="J41" s="62"/>
      <c r="K41" s="62"/>
      <c r="L41" s="62"/>
      <c r="M41" s="62"/>
      <c r="N41" s="62"/>
      <c r="O41" s="62"/>
      <c r="P41" s="62"/>
    </row>
    <row r="42" spans="1:16" outlineLevel="1" x14ac:dyDescent="0.25">
      <c r="B42" s="219" t="s">
        <v>126</v>
      </c>
      <c r="C42" s="219"/>
      <c r="D42" s="219"/>
      <c r="E42" s="219"/>
      <c r="G42" s="219" t="s">
        <v>128</v>
      </c>
      <c r="H42" s="219"/>
      <c r="I42" s="219"/>
      <c r="J42" s="219"/>
    </row>
    <row r="43" spans="1:16" outlineLevel="1" x14ac:dyDescent="0.25">
      <c r="C43" s="65" t="s">
        <v>113</v>
      </c>
      <c r="D43" s="65" t="s">
        <v>114</v>
      </c>
      <c r="E43" s="65" t="s">
        <v>115</v>
      </c>
      <c r="H43" s="65" t="s">
        <v>113</v>
      </c>
      <c r="I43" s="65" t="s">
        <v>114</v>
      </c>
      <c r="J43" s="65" t="s">
        <v>115</v>
      </c>
    </row>
    <row r="44" spans="1:16" outlineLevel="1" x14ac:dyDescent="0.25">
      <c r="B44" s="65" t="s">
        <v>127</v>
      </c>
      <c r="C44" s="65">
        <v>2.5</v>
      </c>
      <c r="D44" s="65">
        <v>1</v>
      </c>
      <c r="E44" s="65">
        <v>0.25</v>
      </c>
      <c r="G44" s="65" t="s">
        <v>127</v>
      </c>
      <c r="H44" s="65">
        <f>C44</f>
        <v>2.5</v>
      </c>
      <c r="I44" s="65">
        <f>D44</f>
        <v>1</v>
      </c>
      <c r="J44" s="65">
        <f>E44</f>
        <v>0.25</v>
      </c>
    </row>
    <row r="45" spans="1:16" outlineLevel="1" x14ac:dyDescent="0.25">
      <c r="B45" s="71">
        <v>0</v>
      </c>
      <c r="C45" s="72">
        <f t="shared" ref="C45:E65" si="0">$B45/C$44</f>
        <v>0</v>
      </c>
      <c r="D45" s="72">
        <f t="shared" si="0"/>
        <v>0</v>
      </c>
      <c r="E45" s="72">
        <f t="shared" si="0"/>
        <v>0</v>
      </c>
      <c r="F45" s="73"/>
      <c r="G45" s="71">
        <v>0</v>
      </c>
      <c r="H45" s="72">
        <f t="shared" ref="H45:J65" si="1">($B45)/($B45+(1-$B45)*H$44)</f>
        <v>0</v>
      </c>
      <c r="I45" s="72">
        <f t="shared" si="1"/>
        <v>0</v>
      </c>
      <c r="J45" s="72">
        <f t="shared" si="1"/>
        <v>0</v>
      </c>
    </row>
    <row r="46" spans="1:16" outlineLevel="1" x14ac:dyDescent="0.25">
      <c r="B46" s="71">
        <v>0.05</v>
      </c>
      <c r="C46" s="72">
        <f t="shared" si="0"/>
        <v>0.02</v>
      </c>
      <c r="D46" s="72">
        <f t="shared" si="0"/>
        <v>0.05</v>
      </c>
      <c r="E46" s="72">
        <f t="shared" si="0"/>
        <v>0.2</v>
      </c>
      <c r="F46" s="73"/>
      <c r="G46" s="71">
        <v>0.05</v>
      </c>
      <c r="H46" s="72">
        <f t="shared" si="1"/>
        <v>2.0618556701030931E-2</v>
      </c>
      <c r="I46" s="72">
        <f t="shared" si="1"/>
        <v>0.05</v>
      </c>
      <c r="J46" s="72">
        <f t="shared" si="1"/>
        <v>0.17391304347826089</v>
      </c>
    </row>
    <row r="47" spans="1:16" outlineLevel="1" x14ac:dyDescent="0.25">
      <c r="B47" s="71">
        <v>0.1</v>
      </c>
      <c r="C47" s="72">
        <f t="shared" si="0"/>
        <v>0.04</v>
      </c>
      <c r="D47" s="72">
        <f t="shared" si="0"/>
        <v>0.1</v>
      </c>
      <c r="E47" s="72">
        <f t="shared" si="0"/>
        <v>0.4</v>
      </c>
      <c r="F47" s="73"/>
      <c r="G47" s="71">
        <v>0.1</v>
      </c>
      <c r="H47" s="72">
        <f t="shared" si="1"/>
        <v>4.2553191489361701E-2</v>
      </c>
      <c r="I47" s="72">
        <f t="shared" si="1"/>
        <v>0.1</v>
      </c>
      <c r="J47" s="72">
        <f t="shared" si="1"/>
        <v>0.30769230769230771</v>
      </c>
    </row>
    <row r="48" spans="1:16" outlineLevel="1" x14ac:dyDescent="0.25">
      <c r="B48" s="71">
        <v>0.15</v>
      </c>
      <c r="C48" s="72">
        <f t="shared" si="0"/>
        <v>0.06</v>
      </c>
      <c r="D48" s="72">
        <f t="shared" si="0"/>
        <v>0.15</v>
      </c>
      <c r="E48" s="72">
        <f t="shared" si="0"/>
        <v>0.6</v>
      </c>
      <c r="F48" s="73"/>
      <c r="G48" s="71">
        <v>0.15</v>
      </c>
      <c r="H48" s="72">
        <f t="shared" si="1"/>
        <v>6.5934065934065936E-2</v>
      </c>
      <c r="I48" s="72">
        <f t="shared" si="1"/>
        <v>0.15</v>
      </c>
      <c r="J48" s="72">
        <f t="shared" si="1"/>
        <v>0.41379310344827586</v>
      </c>
    </row>
    <row r="49" spans="2:10" outlineLevel="1" x14ac:dyDescent="0.25">
      <c r="B49" s="71">
        <v>0.2</v>
      </c>
      <c r="C49" s="72">
        <f t="shared" si="0"/>
        <v>0.08</v>
      </c>
      <c r="D49" s="72">
        <f t="shared" si="0"/>
        <v>0.2</v>
      </c>
      <c r="E49" s="72">
        <f t="shared" si="0"/>
        <v>0.8</v>
      </c>
      <c r="F49" s="73"/>
      <c r="G49" s="71">
        <v>0.2</v>
      </c>
      <c r="H49" s="72">
        <f t="shared" si="1"/>
        <v>9.0909090909090912E-2</v>
      </c>
      <c r="I49" s="72">
        <f t="shared" si="1"/>
        <v>0.2</v>
      </c>
      <c r="J49" s="72">
        <f t="shared" si="1"/>
        <v>0.5</v>
      </c>
    </row>
    <row r="50" spans="2:10" outlineLevel="1" x14ac:dyDescent="0.25">
      <c r="B50" s="71">
        <v>0.25</v>
      </c>
      <c r="C50" s="72">
        <f t="shared" si="0"/>
        <v>0.1</v>
      </c>
      <c r="D50" s="72">
        <f t="shared" si="0"/>
        <v>0.25</v>
      </c>
      <c r="E50" s="72">
        <f t="shared" si="0"/>
        <v>1</v>
      </c>
      <c r="F50" s="73"/>
      <c r="G50" s="71">
        <v>0.25</v>
      </c>
      <c r="H50" s="72">
        <f t="shared" si="1"/>
        <v>0.11764705882352941</v>
      </c>
      <c r="I50" s="72">
        <f t="shared" si="1"/>
        <v>0.25</v>
      </c>
      <c r="J50" s="72">
        <f t="shared" si="1"/>
        <v>0.5714285714285714</v>
      </c>
    </row>
    <row r="51" spans="2:10" outlineLevel="1" x14ac:dyDescent="0.25">
      <c r="B51" s="71">
        <v>0.3</v>
      </c>
      <c r="C51" s="72">
        <f t="shared" si="0"/>
        <v>0.12</v>
      </c>
      <c r="D51" s="72">
        <f t="shared" si="0"/>
        <v>0.3</v>
      </c>
      <c r="E51" s="72">
        <f t="shared" si="0"/>
        <v>1.2</v>
      </c>
      <c r="F51" s="73"/>
      <c r="G51" s="71">
        <v>0.3</v>
      </c>
      <c r="H51" s="72">
        <f t="shared" si="1"/>
        <v>0.14634146341463417</v>
      </c>
      <c r="I51" s="72">
        <f t="shared" si="1"/>
        <v>0.3</v>
      </c>
      <c r="J51" s="72">
        <f t="shared" si="1"/>
        <v>0.63157894736842102</v>
      </c>
    </row>
    <row r="52" spans="2:10" outlineLevel="1" x14ac:dyDescent="0.25">
      <c r="B52" s="71">
        <v>0.35</v>
      </c>
      <c r="C52" s="72">
        <f t="shared" si="0"/>
        <v>0.13999999999999999</v>
      </c>
      <c r="D52" s="72">
        <f t="shared" si="0"/>
        <v>0.35</v>
      </c>
      <c r="E52" s="72">
        <f t="shared" si="0"/>
        <v>1.4</v>
      </c>
      <c r="F52" s="73"/>
      <c r="G52" s="71">
        <v>0.35</v>
      </c>
      <c r="H52" s="72">
        <f t="shared" si="1"/>
        <v>0.17721518987341769</v>
      </c>
      <c r="I52" s="72">
        <f t="shared" si="1"/>
        <v>0.35</v>
      </c>
      <c r="J52" s="72">
        <f t="shared" si="1"/>
        <v>0.68292682926829273</v>
      </c>
    </row>
    <row r="53" spans="2:10" outlineLevel="1" x14ac:dyDescent="0.25">
      <c r="B53" s="71">
        <v>0.4</v>
      </c>
      <c r="C53" s="72">
        <f t="shared" si="0"/>
        <v>0.16</v>
      </c>
      <c r="D53" s="72">
        <f t="shared" si="0"/>
        <v>0.4</v>
      </c>
      <c r="E53" s="72">
        <f t="shared" si="0"/>
        <v>1.6</v>
      </c>
      <c r="F53" s="73"/>
      <c r="G53" s="71">
        <v>0.4</v>
      </c>
      <c r="H53" s="72">
        <f t="shared" si="1"/>
        <v>0.2105263157894737</v>
      </c>
      <c r="I53" s="72">
        <f t="shared" si="1"/>
        <v>0.4</v>
      </c>
      <c r="J53" s="72">
        <f t="shared" si="1"/>
        <v>0.72727272727272729</v>
      </c>
    </row>
    <row r="54" spans="2:10" outlineLevel="1" x14ac:dyDescent="0.25">
      <c r="B54" s="71">
        <v>0.45</v>
      </c>
      <c r="C54" s="72">
        <f t="shared" si="0"/>
        <v>0.18</v>
      </c>
      <c r="D54" s="72">
        <f t="shared" si="0"/>
        <v>0.45</v>
      </c>
      <c r="E54" s="72">
        <f t="shared" si="0"/>
        <v>1.8</v>
      </c>
      <c r="F54" s="73"/>
      <c r="G54" s="71">
        <v>0.45</v>
      </c>
      <c r="H54" s="72">
        <f t="shared" si="1"/>
        <v>0.24657534246575344</v>
      </c>
      <c r="I54" s="72">
        <f t="shared" si="1"/>
        <v>0.45</v>
      </c>
      <c r="J54" s="72">
        <f t="shared" si="1"/>
        <v>0.76595744680851063</v>
      </c>
    </row>
    <row r="55" spans="2:10" outlineLevel="1" x14ac:dyDescent="0.25">
      <c r="B55" s="71">
        <v>0.5</v>
      </c>
      <c r="C55" s="72">
        <f t="shared" si="0"/>
        <v>0.2</v>
      </c>
      <c r="D55" s="72">
        <f t="shared" si="0"/>
        <v>0.5</v>
      </c>
      <c r="E55" s="72">
        <f t="shared" si="0"/>
        <v>2</v>
      </c>
      <c r="F55" s="73"/>
      <c r="G55" s="71">
        <v>0.5</v>
      </c>
      <c r="H55" s="72">
        <f t="shared" si="1"/>
        <v>0.2857142857142857</v>
      </c>
      <c r="I55" s="72">
        <f t="shared" si="1"/>
        <v>0.5</v>
      </c>
      <c r="J55" s="72">
        <f t="shared" si="1"/>
        <v>0.8</v>
      </c>
    </row>
    <row r="56" spans="2:10" outlineLevel="1" x14ac:dyDescent="0.25">
      <c r="B56" s="71">
        <v>0.55000000000000004</v>
      </c>
      <c r="C56" s="72">
        <f t="shared" si="0"/>
        <v>0.22000000000000003</v>
      </c>
      <c r="D56" s="72">
        <f t="shared" si="0"/>
        <v>0.55000000000000004</v>
      </c>
      <c r="E56" s="72">
        <f t="shared" si="0"/>
        <v>2.2000000000000002</v>
      </c>
      <c r="F56" s="73"/>
      <c r="G56" s="71">
        <v>0.55000000000000004</v>
      </c>
      <c r="H56" s="72">
        <f t="shared" si="1"/>
        <v>0.32835820895522388</v>
      </c>
      <c r="I56" s="72">
        <f t="shared" si="1"/>
        <v>0.55000000000000004</v>
      </c>
      <c r="J56" s="72">
        <f t="shared" si="1"/>
        <v>0.83018867924528295</v>
      </c>
    </row>
    <row r="57" spans="2:10" outlineLevel="1" x14ac:dyDescent="0.25">
      <c r="B57" s="71">
        <v>0.6</v>
      </c>
      <c r="C57" s="72">
        <f t="shared" si="0"/>
        <v>0.24</v>
      </c>
      <c r="D57" s="72">
        <f t="shared" si="0"/>
        <v>0.6</v>
      </c>
      <c r="E57" s="72">
        <f t="shared" si="0"/>
        <v>2.4</v>
      </c>
      <c r="F57" s="73"/>
      <c r="G57" s="71">
        <v>0.6</v>
      </c>
      <c r="H57" s="72">
        <f t="shared" si="1"/>
        <v>0.37499999999999994</v>
      </c>
      <c r="I57" s="72">
        <f t="shared" si="1"/>
        <v>0.6</v>
      </c>
      <c r="J57" s="72">
        <f t="shared" si="1"/>
        <v>0.85714285714285721</v>
      </c>
    </row>
    <row r="58" spans="2:10" outlineLevel="1" x14ac:dyDescent="0.25">
      <c r="B58" s="71">
        <v>0.65</v>
      </c>
      <c r="C58" s="72">
        <f t="shared" si="0"/>
        <v>0.26</v>
      </c>
      <c r="D58" s="72">
        <f t="shared" si="0"/>
        <v>0.65</v>
      </c>
      <c r="E58" s="72">
        <f t="shared" si="0"/>
        <v>2.6</v>
      </c>
      <c r="F58" s="73"/>
      <c r="G58" s="71">
        <v>0.65</v>
      </c>
      <c r="H58" s="72">
        <f t="shared" si="1"/>
        <v>0.42622950819672134</v>
      </c>
      <c r="I58" s="72">
        <f t="shared" si="1"/>
        <v>0.65</v>
      </c>
      <c r="J58" s="72">
        <f t="shared" si="1"/>
        <v>0.88135593220338981</v>
      </c>
    </row>
    <row r="59" spans="2:10" outlineLevel="1" x14ac:dyDescent="0.25">
      <c r="B59" s="71">
        <v>0.7</v>
      </c>
      <c r="C59" s="72">
        <f t="shared" si="0"/>
        <v>0.27999999999999997</v>
      </c>
      <c r="D59" s="72">
        <f t="shared" si="0"/>
        <v>0.7</v>
      </c>
      <c r="E59" s="72">
        <f t="shared" si="0"/>
        <v>2.8</v>
      </c>
      <c r="F59" s="73"/>
      <c r="G59" s="71">
        <v>0.7</v>
      </c>
      <c r="H59" s="72">
        <f t="shared" si="1"/>
        <v>0.48275862068965508</v>
      </c>
      <c r="I59" s="72">
        <f t="shared" si="1"/>
        <v>0.7</v>
      </c>
      <c r="J59" s="72">
        <f t="shared" si="1"/>
        <v>0.90322580645161299</v>
      </c>
    </row>
    <row r="60" spans="2:10" outlineLevel="1" x14ac:dyDescent="0.25">
      <c r="B60" s="71">
        <v>0.75</v>
      </c>
      <c r="C60" s="72">
        <f t="shared" si="0"/>
        <v>0.3</v>
      </c>
      <c r="D60" s="72">
        <f t="shared" si="0"/>
        <v>0.75</v>
      </c>
      <c r="E60" s="72">
        <f t="shared" si="0"/>
        <v>3</v>
      </c>
      <c r="F60" s="73"/>
      <c r="G60" s="71">
        <v>0.75</v>
      </c>
      <c r="H60" s="72">
        <f t="shared" si="1"/>
        <v>0.54545454545454541</v>
      </c>
      <c r="I60" s="72">
        <f t="shared" si="1"/>
        <v>0.75</v>
      </c>
      <c r="J60" s="72">
        <f t="shared" si="1"/>
        <v>0.92307692307692313</v>
      </c>
    </row>
    <row r="61" spans="2:10" outlineLevel="1" x14ac:dyDescent="0.25">
      <c r="B61" s="71">
        <v>0.8</v>
      </c>
      <c r="C61" s="72">
        <f t="shared" si="0"/>
        <v>0.32</v>
      </c>
      <c r="D61" s="72">
        <f t="shared" si="0"/>
        <v>0.8</v>
      </c>
      <c r="E61" s="72">
        <f t="shared" si="0"/>
        <v>3.2</v>
      </c>
      <c r="F61" s="73"/>
      <c r="G61" s="71">
        <v>0.8</v>
      </c>
      <c r="H61" s="72">
        <f t="shared" si="1"/>
        <v>0.61538461538461553</v>
      </c>
      <c r="I61" s="72">
        <f t="shared" si="1"/>
        <v>0.8</v>
      </c>
      <c r="J61" s="72">
        <f t="shared" si="1"/>
        <v>0.94117647058823528</v>
      </c>
    </row>
    <row r="62" spans="2:10" outlineLevel="1" x14ac:dyDescent="0.25">
      <c r="B62" s="71">
        <v>0.85</v>
      </c>
      <c r="C62" s="72">
        <f t="shared" si="0"/>
        <v>0.33999999999999997</v>
      </c>
      <c r="D62" s="72">
        <f t="shared" si="0"/>
        <v>0.85</v>
      </c>
      <c r="E62" s="72">
        <f t="shared" si="0"/>
        <v>3.4</v>
      </c>
      <c r="F62" s="73"/>
      <c r="G62" s="71">
        <v>0.85</v>
      </c>
      <c r="H62" s="72">
        <f t="shared" si="1"/>
        <v>0.69387755102040805</v>
      </c>
      <c r="I62" s="72">
        <f t="shared" si="1"/>
        <v>0.85</v>
      </c>
      <c r="J62" s="72">
        <f t="shared" si="1"/>
        <v>0.95774647887323949</v>
      </c>
    </row>
    <row r="63" spans="2:10" outlineLevel="1" x14ac:dyDescent="0.25">
      <c r="B63" s="71">
        <v>0.9</v>
      </c>
      <c r="C63" s="72">
        <f t="shared" si="0"/>
        <v>0.36</v>
      </c>
      <c r="D63" s="72">
        <f t="shared" si="0"/>
        <v>0.9</v>
      </c>
      <c r="E63" s="72">
        <f t="shared" si="0"/>
        <v>3.6</v>
      </c>
      <c r="F63" s="73"/>
      <c r="G63" s="71">
        <v>0.9</v>
      </c>
      <c r="H63" s="72">
        <f t="shared" si="1"/>
        <v>0.78260869565217395</v>
      </c>
      <c r="I63" s="72">
        <f t="shared" si="1"/>
        <v>0.9</v>
      </c>
      <c r="J63" s="72">
        <f t="shared" si="1"/>
        <v>0.97297297297297292</v>
      </c>
    </row>
    <row r="64" spans="2:10" outlineLevel="1" x14ac:dyDescent="0.25">
      <c r="B64" s="71">
        <v>0.95</v>
      </c>
      <c r="C64" s="72">
        <f t="shared" si="0"/>
        <v>0.38</v>
      </c>
      <c r="D64" s="72">
        <f t="shared" si="0"/>
        <v>0.95</v>
      </c>
      <c r="E64" s="72">
        <f t="shared" si="0"/>
        <v>3.8</v>
      </c>
      <c r="F64" s="73"/>
      <c r="G64" s="71">
        <v>0.95</v>
      </c>
      <c r="H64" s="72">
        <f t="shared" si="1"/>
        <v>0.88372093023255793</v>
      </c>
      <c r="I64" s="72">
        <f t="shared" si="1"/>
        <v>0.95</v>
      </c>
      <c r="J64" s="72">
        <f t="shared" si="1"/>
        <v>0.98701298701298701</v>
      </c>
    </row>
    <row r="65" spans="2:10" outlineLevel="1" x14ac:dyDescent="0.25">
      <c r="B65" s="71">
        <v>1</v>
      </c>
      <c r="C65" s="72">
        <f t="shared" si="0"/>
        <v>0.4</v>
      </c>
      <c r="D65" s="72">
        <f t="shared" si="0"/>
        <v>1</v>
      </c>
      <c r="E65" s="72">
        <f t="shared" si="0"/>
        <v>4</v>
      </c>
      <c r="F65" s="73"/>
      <c r="G65" s="71">
        <v>1</v>
      </c>
      <c r="H65" s="72">
        <f t="shared" si="1"/>
        <v>1</v>
      </c>
      <c r="I65" s="72">
        <f t="shared" si="1"/>
        <v>1</v>
      </c>
      <c r="J65" s="72">
        <f t="shared" si="1"/>
        <v>1</v>
      </c>
    </row>
    <row r="66" spans="2:10" outlineLevel="1" x14ac:dyDescent="0.25"/>
    <row r="67" spans="2:10" outlineLevel="1" x14ac:dyDescent="0.25"/>
    <row r="68" spans="2:10" outlineLevel="1" x14ac:dyDescent="0.25"/>
    <row r="69" spans="2:10" outlineLevel="1" x14ac:dyDescent="0.25"/>
    <row r="70" spans="2:10" outlineLevel="1" x14ac:dyDescent="0.25"/>
    <row r="71" spans="2:10" outlineLevel="1" x14ac:dyDescent="0.25"/>
    <row r="72" spans="2:10" outlineLevel="1" x14ac:dyDescent="0.25"/>
    <row r="73" spans="2:10" outlineLevel="1" x14ac:dyDescent="0.25"/>
    <row r="74" spans="2:10" outlineLevel="1" x14ac:dyDescent="0.25"/>
    <row r="75" spans="2:10" outlineLevel="1" x14ac:dyDescent="0.25"/>
    <row r="76" spans="2:10" outlineLevel="1" x14ac:dyDescent="0.25"/>
    <row r="77" spans="2:10" outlineLevel="1" x14ac:dyDescent="0.25"/>
    <row r="78" spans="2:10" outlineLevel="1" x14ac:dyDescent="0.25"/>
    <row r="79" spans="2:10" outlineLevel="1" x14ac:dyDescent="0.25"/>
    <row r="80" spans="2:10" outlineLevel="1" x14ac:dyDescent="0.25"/>
    <row r="81" spans="1:16" outlineLevel="1" x14ac:dyDescent="0.25"/>
    <row r="82" spans="1:16" outlineLevel="1" x14ac:dyDescent="0.25"/>
    <row r="84" spans="1:16" ht="18.75" x14ac:dyDescent="0.25">
      <c r="A84" s="220" t="s">
        <v>129</v>
      </c>
      <c r="B84" s="220"/>
      <c r="C84" s="220"/>
      <c r="D84" s="220"/>
      <c r="E84" s="60"/>
      <c r="F84" s="60"/>
      <c r="G84" s="60"/>
      <c r="H84" s="60"/>
      <c r="I84" s="60"/>
      <c r="J84" s="60"/>
      <c r="K84" s="60"/>
      <c r="L84" s="60"/>
      <c r="M84" s="60"/>
      <c r="N84" s="60"/>
      <c r="O84" s="60"/>
      <c r="P84" s="60"/>
    </row>
    <row r="85" spans="1:16" x14ac:dyDescent="0.25">
      <c r="A85" s="136" t="s">
        <v>139</v>
      </c>
      <c r="B85" s="136"/>
      <c r="C85" s="140"/>
      <c r="D85" s="140"/>
      <c r="E85" s="140"/>
      <c r="F85" s="140"/>
      <c r="G85" s="140"/>
      <c r="H85" s="140"/>
      <c r="I85" s="140"/>
      <c r="J85" s="140"/>
      <c r="K85" s="140"/>
      <c r="L85" s="140"/>
      <c r="M85" s="140"/>
      <c r="N85" s="140"/>
      <c r="O85" s="140"/>
      <c r="P85" s="140"/>
    </row>
    <row r="86" spans="1:16" ht="7.5" customHeight="1" outlineLevel="1" x14ac:dyDescent="0.25"/>
    <row r="87" spans="1:16" ht="15" customHeight="1" outlineLevel="1" x14ac:dyDescent="0.25">
      <c r="A87" s="62" t="s">
        <v>119</v>
      </c>
      <c r="B87" s="62"/>
      <c r="C87" s="62"/>
      <c r="D87" s="62"/>
      <c r="E87" s="62"/>
      <c r="F87" s="62"/>
      <c r="G87" s="62"/>
      <c r="H87" s="62"/>
      <c r="I87" s="62"/>
      <c r="J87" s="62"/>
      <c r="K87" s="62"/>
      <c r="L87" s="62"/>
      <c r="M87" s="62"/>
      <c r="N87" s="62"/>
      <c r="O87" s="62"/>
      <c r="P87" s="62"/>
    </row>
    <row r="88" spans="1:16" outlineLevel="1" x14ac:dyDescent="0.25">
      <c r="B88" s="218" t="s">
        <v>130</v>
      </c>
      <c r="C88" s="218"/>
      <c r="D88" s="218"/>
      <c r="E88" s="65"/>
      <c r="F88" s="224" t="s">
        <v>31</v>
      </c>
      <c r="G88" s="224"/>
    </row>
    <row r="89" spans="1:16" outlineLevel="1" x14ac:dyDescent="0.25">
      <c r="B89" s="75" t="s">
        <v>3</v>
      </c>
      <c r="C89" s="76" t="s">
        <v>4</v>
      </c>
      <c r="D89" s="77" t="s">
        <v>5</v>
      </c>
      <c r="F89" s="78" t="s">
        <v>4</v>
      </c>
      <c r="G89" s="79" t="s">
        <v>5</v>
      </c>
      <c r="H89" s="80"/>
    </row>
    <row r="90" spans="1:16" outlineLevel="1" x14ac:dyDescent="0.25">
      <c r="B90" s="81">
        <v>0</v>
      </c>
      <c r="C90" s="65">
        <f>IF(AND(Calibration!D8="yes",Calibration!B8&lt;&gt;""),Calibration!B8,"")</f>
        <v>60</v>
      </c>
      <c r="D90" s="82">
        <f>IF(AND(Calibration!D8="yes",Calibration!C8&lt;&gt;""),Calibration!C8,0)</f>
        <v>-3</v>
      </c>
      <c r="F90" s="80" cm="1">
        <f t="array" ref="F90:G93">_xlfn._xlws.SORT(_xlfn._xlws.FILTER(C90:D105,(C90:C105&lt;&gt;"")*(D90:D105&lt;&gt;"")),1,1)</f>
        <v>60</v>
      </c>
      <c r="G90" s="83">
        <v>-3</v>
      </c>
      <c r="H90" s="84"/>
    </row>
    <row r="91" spans="1:16" outlineLevel="1" x14ac:dyDescent="0.25">
      <c r="B91" s="81">
        <v>1</v>
      </c>
      <c r="C91" s="65">
        <f>IF(AND(Calibration!D9="yes",Calibration!B9&lt;&gt;""),Calibration!B9,"")</f>
        <v>150</v>
      </c>
      <c r="D91" s="82">
        <f>IF(AND(Calibration!D9="yes",Calibration!C9&lt;&gt;""),Calibration!C9,0)</f>
        <v>5.5</v>
      </c>
      <c r="F91" s="80">
        <v>150</v>
      </c>
      <c r="G91" s="83">
        <v>5.5</v>
      </c>
      <c r="H91" s="84"/>
    </row>
    <row r="92" spans="1:16" outlineLevel="1" x14ac:dyDescent="0.25">
      <c r="B92" s="81">
        <v>2</v>
      </c>
      <c r="C92" s="65">
        <f>IF(AND(Calibration!D10="yes",Calibration!B10&lt;&gt;""),Calibration!B10,"")</f>
        <v>155</v>
      </c>
      <c r="D92" s="82">
        <f>IF(AND(Calibration!D10="yes",Calibration!C10&lt;&gt;""),Calibration!C10,0)</f>
        <v>5.8</v>
      </c>
      <c r="F92" s="80">
        <v>155</v>
      </c>
      <c r="G92" s="83">
        <v>5.8</v>
      </c>
      <c r="H92" s="84"/>
    </row>
    <row r="93" spans="1:16" outlineLevel="1" x14ac:dyDescent="0.25">
      <c r="B93" s="81">
        <v>3</v>
      </c>
      <c r="C93" s="65">
        <f>IF(AND(Calibration!D11="yes",Calibration!B11&lt;&gt;""),Calibration!B11,"")</f>
        <v>160</v>
      </c>
      <c r="D93" s="82">
        <f>IF(AND(Calibration!D11="yes",Calibration!C11&lt;&gt;""),Calibration!C11,0)</f>
        <v>7</v>
      </c>
      <c r="F93" s="80">
        <v>160</v>
      </c>
      <c r="G93" s="83">
        <v>7</v>
      </c>
      <c r="H93" s="84"/>
    </row>
    <row r="94" spans="1:16" outlineLevel="1" x14ac:dyDescent="0.25">
      <c r="B94" s="81">
        <v>4</v>
      </c>
      <c r="C94" s="65" t="str">
        <f>IF(AND(Calibration!D12="yes",Calibration!B12&lt;&gt;""),Calibration!B12,"")</f>
        <v/>
      </c>
      <c r="D94" s="82">
        <f>IF(AND(Calibration!D12="yes",Calibration!C12&lt;&gt;""),Calibration!C12,0)</f>
        <v>0</v>
      </c>
      <c r="F94" s="80"/>
      <c r="G94" s="83"/>
      <c r="H94" s="84"/>
    </row>
    <row r="95" spans="1:16" outlineLevel="1" x14ac:dyDescent="0.25">
      <c r="B95" s="81">
        <v>5</v>
      </c>
      <c r="C95" s="65" t="str">
        <f>IF(AND(Calibration!D13="yes",Calibration!B13&lt;&gt;""),Calibration!B13,"")</f>
        <v/>
      </c>
      <c r="D95" s="82">
        <f>IF(AND(Calibration!D13="yes",Calibration!C13&lt;&gt;""),Calibration!C13,0)</f>
        <v>0</v>
      </c>
      <c r="E95" s="85"/>
      <c r="F95" s="86"/>
      <c r="G95" s="87"/>
      <c r="H95" s="84"/>
    </row>
    <row r="96" spans="1:16" outlineLevel="1" x14ac:dyDescent="0.25">
      <c r="B96" s="81">
        <v>6</v>
      </c>
      <c r="C96" s="65" t="str">
        <f>IF(AND(Calibration!D14="yes",Calibration!B14&lt;&gt;""),Calibration!B14,"")</f>
        <v/>
      </c>
      <c r="D96" s="82">
        <f>IF(AND(Calibration!D14="yes",Calibration!C14&lt;&gt;""),Calibration!C14,0)</f>
        <v>0</v>
      </c>
      <c r="E96" s="85" t="str">
        <f t="shared" ref="E96:E105" si="2">IF(C96="","",$C$130*C96^$H$111+$D$130*C96^$G$111+$E$130*C96^$F$111+$F$130*C96^$E$111+$G$130*C96^$D$111+$H$130*C96^$C$111)</f>
        <v/>
      </c>
      <c r="F96" s="86"/>
      <c r="G96" s="87"/>
      <c r="H96" s="84"/>
    </row>
    <row r="97" spans="1:16" outlineLevel="1" x14ac:dyDescent="0.25">
      <c r="B97" s="81">
        <v>7</v>
      </c>
      <c r="C97" s="65" t="str">
        <f>IF(AND(Calibration!D15="yes",Calibration!B15&lt;&gt;""),Calibration!B15,"")</f>
        <v/>
      </c>
      <c r="D97" s="82">
        <f>IF(AND(Calibration!D15="yes",Calibration!C15&lt;&gt;""),Calibration!C15,0)</f>
        <v>0</v>
      </c>
      <c r="E97" s="85" t="str">
        <f t="shared" si="2"/>
        <v/>
      </c>
      <c r="F97" s="86"/>
      <c r="G97" s="87"/>
      <c r="H97" s="84"/>
    </row>
    <row r="98" spans="1:16" outlineLevel="1" x14ac:dyDescent="0.25">
      <c r="B98" s="81">
        <v>8</v>
      </c>
      <c r="C98" s="65" t="str">
        <f>IF(AND(Calibration!D16="yes",Calibration!B16&lt;&gt;""),Calibration!B16,"")</f>
        <v/>
      </c>
      <c r="D98" s="82">
        <f>IF(AND(Calibration!D16="yes",Calibration!C16&lt;&gt;""),Calibration!C16,0)</f>
        <v>0</v>
      </c>
      <c r="E98" s="85" t="str">
        <f t="shared" si="2"/>
        <v/>
      </c>
      <c r="F98" s="86"/>
      <c r="G98" s="87"/>
      <c r="H98" s="84"/>
    </row>
    <row r="99" spans="1:16" outlineLevel="1" x14ac:dyDescent="0.25">
      <c r="B99" s="81">
        <v>9</v>
      </c>
      <c r="C99" s="65" t="str">
        <f>IF(AND(Calibration!D17="yes",Calibration!B17&lt;&gt;""),Calibration!B17,"")</f>
        <v/>
      </c>
      <c r="D99" s="82">
        <f>IF(AND(Calibration!D17="yes",Calibration!C17&lt;&gt;""),Calibration!C17,0)</f>
        <v>0</v>
      </c>
      <c r="E99" s="85" t="str">
        <f t="shared" si="2"/>
        <v/>
      </c>
      <c r="F99" s="86"/>
      <c r="G99" s="87"/>
      <c r="H99" s="84"/>
    </row>
    <row r="100" spans="1:16" outlineLevel="1" x14ac:dyDescent="0.25">
      <c r="B100" s="81">
        <v>10</v>
      </c>
      <c r="C100" s="65" t="str">
        <f>IF(AND(Calibration!D18="yes",Calibration!B18&lt;&gt;""),Calibration!B18,"")</f>
        <v/>
      </c>
      <c r="D100" s="82">
        <f>IF(AND(Calibration!D18="yes",Calibration!C18&lt;&gt;""),Calibration!C18,0)</f>
        <v>0</v>
      </c>
      <c r="E100" s="85" t="str">
        <f t="shared" si="2"/>
        <v/>
      </c>
      <c r="F100" s="86"/>
      <c r="G100" s="87"/>
      <c r="H100" s="84"/>
    </row>
    <row r="101" spans="1:16" outlineLevel="1" x14ac:dyDescent="0.25">
      <c r="B101" s="81">
        <v>11</v>
      </c>
      <c r="C101" s="65" t="str">
        <f>IF(AND(Calibration!D19="yes",Calibration!B19&lt;&gt;""),Calibration!B19,"")</f>
        <v/>
      </c>
      <c r="D101" s="82">
        <f>IF(AND(Calibration!D19="yes",Calibration!C19&lt;&gt;""),Calibration!C19,0)</f>
        <v>0</v>
      </c>
      <c r="E101" s="85" t="str">
        <f t="shared" si="2"/>
        <v/>
      </c>
      <c r="F101" s="86"/>
      <c r="G101" s="87"/>
      <c r="H101" s="84"/>
    </row>
    <row r="102" spans="1:16" outlineLevel="1" x14ac:dyDescent="0.25">
      <c r="B102" s="81">
        <v>12</v>
      </c>
      <c r="C102" s="65" t="str">
        <f>IF(AND(Calibration!D20="yes",Calibration!B20&lt;&gt;""),Calibration!B20,"")</f>
        <v/>
      </c>
      <c r="D102" s="82">
        <f>IF(AND(Calibration!D20="yes",Calibration!C20&lt;&gt;""),Calibration!C20,0)</f>
        <v>0</v>
      </c>
      <c r="E102" s="85" t="str">
        <f t="shared" si="2"/>
        <v/>
      </c>
      <c r="F102" s="86"/>
      <c r="G102" s="87"/>
      <c r="H102" s="84"/>
    </row>
    <row r="103" spans="1:16" outlineLevel="1" x14ac:dyDescent="0.25">
      <c r="B103" s="81">
        <v>13</v>
      </c>
      <c r="C103" s="65" t="str">
        <f>IF(AND(Calibration!D21="yes",Calibration!B21&lt;&gt;""),Calibration!B21,"")</f>
        <v/>
      </c>
      <c r="D103" s="82">
        <f>IF(AND(Calibration!D21="yes",Calibration!C21&lt;&gt;""),Calibration!C21,0)</f>
        <v>0</v>
      </c>
      <c r="E103" s="85" t="str">
        <f t="shared" si="2"/>
        <v/>
      </c>
      <c r="F103" s="86"/>
      <c r="G103" s="87"/>
      <c r="H103" s="84"/>
    </row>
    <row r="104" spans="1:16" outlineLevel="1" x14ac:dyDescent="0.25">
      <c r="B104" s="81">
        <v>14</v>
      </c>
      <c r="C104" s="65" t="str">
        <f>IF(AND(Calibration!D22="yes",Calibration!B22&lt;&gt;""),Calibration!B22,"")</f>
        <v/>
      </c>
      <c r="D104" s="82">
        <f>IF(AND(Calibration!D22="yes",Calibration!C22&lt;&gt;""),Calibration!C22,0)</f>
        <v>0</v>
      </c>
      <c r="E104" s="85" t="str">
        <f t="shared" si="2"/>
        <v/>
      </c>
      <c r="F104" s="86"/>
      <c r="G104" s="87"/>
      <c r="H104" s="84"/>
    </row>
    <row r="105" spans="1:16" outlineLevel="1" x14ac:dyDescent="0.25">
      <c r="B105" s="88">
        <v>15</v>
      </c>
      <c r="C105" s="74" t="str">
        <f>IF(AND(Calibration!D23="yes",Calibration!B23&lt;&gt;""),Calibration!B23,"")</f>
        <v/>
      </c>
      <c r="D105" s="89">
        <f>IF(AND(Calibration!D23="yes",Calibration!C23&lt;&gt;""),Calibration!C23,0)</f>
        <v>0</v>
      </c>
      <c r="E105" s="85" t="str">
        <f t="shared" si="2"/>
        <v/>
      </c>
      <c r="F105" s="90"/>
      <c r="G105" s="91"/>
      <c r="H105" s="84"/>
    </row>
    <row r="106" spans="1:16" outlineLevel="1" x14ac:dyDescent="0.25"/>
    <row r="107" spans="1:16" outlineLevel="1" x14ac:dyDescent="0.25">
      <c r="A107" s="62" t="s">
        <v>131</v>
      </c>
      <c r="B107" s="62"/>
      <c r="C107" s="62"/>
      <c r="D107" s="62"/>
      <c r="E107" s="62"/>
      <c r="F107" s="62"/>
      <c r="G107" s="62"/>
      <c r="H107" s="62"/>
      <c r="I107" s="62"/>
      <c r="J107" s="62"/>
      <c r="K107" s="62"/>
      <c r="L107" s="62"/>
      <c r="M107" s="62"/>
      <c r="N107" s="62"/>
      <c r="O107" s="62"/>
      <c r="P107" s="62"/>
    </row>
    <row r="108" spans="1:16" outlineLevel="1" x14ac:dyDescent="0.25">
      <c r="B108" s="222" t="s">
        <v>132</v>
      </c>
      <c r="C108" s="222"/>
      <c r="D108" s="65">
        <f>IF(Calibration!F8="Linear",1,IF(Calibration!F8="Polynomial [2]",2,IF(Calibration!F8="Polynomial [3]",3,IF(Calibration!F8="Polynomial [4]",4,5))))</f>
        <v>1</v>
      </c>
    </row>
    <row r="109" spans="1:16" outlineLevel="1" x14ac:dyDescent="0.25"/>
    <row r="110" spans="1:16" outlineLevel="1" x14ac:dyDescent="0.25">
      <c r="C110" s="223" t="s">
        <v>99</v>
      </c>
      <c r="D110" s="223"/>
      <c r="E110" s="223"/>
      <c r="F110" s="223"/>
      <c r="G110" s="223"/>
      <c r="H110" s="223"/>
    </row>
    <row r="111" spans="1:16" outlineLevel="1" x14ac:dyDescent="0.25">
      <c r="B111" s="92"/>
      <c r="C111" s="93">
        <v>5</v>
      </c>
      <c r="D111" s="93">
        <v>4</v>
      </c>
      <c r="E111" s="93">
        <v>3</v>
      </c>
      <c r="F111" s="93">
        <v>2</v>
      </c>
      <c r="G111" s="93">
        <v>1</v>
      </c>
      <c r="H111" s="79">
        <v>0</v>
      </c>
    </row>
    <row r="112" spans="1:16" outlineLevel="1" x14ac:dyDescent="0.25">
      <c r="B112" s="80">
        <v>0</v>
      </c>
      <c r="C112" s="73">
        <f t="shared" ref="C112:C127" si="3">IF(AND(C90&lt;&gt;"",$D$108&gt;=C$111),$C90^C$111,0)</f>
        <v>0</v>
      </c>
      <c r="D112" s="73">
        <f t="shared" ref="D112:D127" si="4">IF(AND(C90&lt;&gt;"",$D$108&gt;=D$111),$C90^D$111,0)</f>
        <v>0</v>
      </c>
      <c r="E112" s="73">
        <f t="shared" ref="E112:E127" si="5">IF(AND(C90&lt;&gt;"",$D$108&gt;=E$111),$C90^E$111,0)</f>
        <v>0</v>
      </c>
      <c r="F112" s="73">
        <f t="shared" ref="F112:F127" si="6">IF(AND(C90&lt;&gt;"",$D$108&gt;=F$111),$C90^F$111,0)</f>
        <v>0</v>
      </c>
      <c r="G112" s="73">
        <f t="shared" ref="G112:G127" si="7">IF(AND(C90&lt;&gt;"",$D$108&gt;=G$111),$C90^G$111,0)</f>
        <v>60</v>
      </c>
      <c r="H112" s="83">
        <f t="shared" ref="H112:H127" si="8">IF(AND(C90&lt;&gt;"",C90&lt;&gt;0,$D$108&gt;=H$111),$C90^H$111,0)</f>
        <v>1</v>
      </c>
    </row>
    <row r="113" spans="2:8" outlineLevel="1" x14ac:dyDescent="0.25">
      <c r="B113" s="80">
        <v>1</v>
      </c>
      <c r="C113" s="73">
        <f t="shared" si="3"/>
        <v>0</v>
      </c>
      <c r="D113" s="73">
        <f t="shared" si="4"/>
        <v>0</v>
      </c>
      <c r="E113" s="73">
        <f t="shared" si="5"/>
        <v>0</v>
      </c>
      <c r="F113" s="73">
        <f t="shared" si="6"/>
        <v>0</v>
      </c>
      <c r="G113" s="73">
        <f t="shared" si="7"/>
        <v>150</v>
      </c>
      <c r="H113" s="83">
        <f t="shared" si="8"/>
        <v>1</v>
      </c>
    </row>
    <row r="114" spans="2:8" outlineLevel="1" x14ac:dyDescent="0.25">
      <c r="B114" s="80">
        <v>2</v>
      </c>
      <c r="C114" s="73">
        <f t="shared" si="3"/>
        <v>0</v>
      </c>
      <c r="D114" s="73">
        <f t="shared" si="4"/>
        <v>0</v>
      </c>
      <c r="E114" s="73">
        <f t="shared" si="5"/>
        <v>0</v>
      </c>
      <c r="F114" s="73">
        <f t="shared" si="6"/>
        <v>0</v>
      </c>
      <c r="G114" s="73">
        <f t="shared" si="7"/>
        <v>155</v>
      </c>
      <c r="H114" s="83">
        <f t="shared" si="8"/>
        <v>1</v>
      </c>
    </row>
    <row r="115" spans="2:8" outlineLevel="1" x14ac:dyDescent="0.25">
      <c r="B115" s="80">
        <v>3</v>
      </c>
      <c r="C115" s="73">
        <f t="shared" si="3"/>
        <v>0</v>
      </c>
      <c r="D115" s="73">
        <f t="shared" si="4"/>
        <v>0</v>
      </c>
      <c r="E115" s="73">
        <f t="shared" si="5"/>
        <v>0</v>
      </c>
      <c r="F115" s="73">
        <f t="shared" si="6"/>
        <v>0</v>
      </c>
      <c r="G115" s="73">
        <f t="shared" si="7"/>
        <v>160</v>
      </c>
      <c r="H115" s="83">
        <f t="shared" si="8"/>
        <v>1</v>
      </c>
    </row>
    <row r="116" spans="2:8" outlineLevel="1" x14ac:dyDescent="0.25">
      <c r="B116" s="80">
        <v>4</v>
      </c>
      <c r="C116" s="73">
        <f t="shared" si="3"/>
        <v>0</v>
      </c>
      <c r="D116" s="73">
        <f t="shared" si="4"/>
        <v>0</v>
      </c>
      <c r="E116" s="73">
        <f t="shared" si="5"/>
        <v>0</v>
      </c>
      <c r="F116" s="73">
        <f t="shared" si="6"/>
        <v>0</v>
      </c>
      <c r="G116" s="73">
        <f t="shared" si="7"/>
        <v>0</v>
      </c>
      <c r="H116" s="83">
        <f t="shared" si="8"/>
        <v>0</v>
      </c>
    </row>
    <row r="117" spans="2:8" outlineLevel="1" x14ac:dyDescent="0.25">
      <c r="B117" s="80">
        <v>5</v>
      </c>
      <c r="C117" s="73">
        <f t="shared" si="3"/>
        <v>0</v>
      </c>
      <c r="D117" s="73">
        <f t="shared" si="4"/>
        <v>0</v>
      </c>
      <c r="E117" s="73">
        <f t="shared" si="5"/>
        <v>0</v>
      </c>
      <c r="F117" s="73">
        <f t="shared" si="6"/>
        <v>0</v>
      </c>
      <c r="G117" s="73">
        <f t="shared" si="7"/>
        <v>0</v>
      </c>
      <c r="H117" s="83">
        <f t="shared" si="8"/>
        <v>0</v>
      </c>
    </row>
    <row r="118" spans="2:8" outlineLevel="1" x14ac:dyDescent="0.25">
      <c r="B118" s="80">
        <v>6</v>
      </c>
      <c r="C118" s="73">
        <f t="shared" si="3"/>
        <v>0</v>
      </c>
      <c r="D118" s="73">
        <f t="shared" si="4"/>
        <v>0</v>
      </c>
      <c r="E118" s="73">
        <f t="shared" si="5"/>
        <v>0</v>
      </c>
      <c r="F118" s="73">
        <f t="shared" si="6"/>
        <v>0</v>
      </c>
      <c r="G118" s="73">
        <f t="shared" si="7"/>
        <v>0</v>
      </c>
      <c r="H118" s="83">
        <f t="shared" si="8"/>
        <v>0</v>
      </c>
    </row>
    <row r="119" spans="2:8" outlineLevel="1" x14ac:dyDescent="0.25">
      <c r="B119" s="80">
        <v>7</v>
      </c>
      <c r="C119" s="73">
        <f t="shared" si="3"/>
        <v>0</v>
      </c>
      <c r="D119" s="73">
        <f t="shared" si="4"/>
        <v>0</v>
      </c>
      <c r="E119" s="73">
        <f t="shared" si="5"/>
        <v>0</v>
      </c>
      <c r="F119" s="73">
        <f t="shared" si="6"/>
        <v>0</v>
      </c>
      <c r="G119" s="73">
        <f t="shared" si="7"/>
        <v>0</v>
      </c>
      <c r="H119" s="83">
        <f t="shared" si="8"/>
        <v>0</v>
      </c>
    </row>
    <row r="120" spans="2:8" outlineLevel="1" x14ac:dyDescent="0.25">
      <c r="B120" s="80">
        <v>8</v>
      </c>
      <c r="C120" s="73">
        <f t="shared" si="3"/>
        <v>0</v>
      </c>
      <c r="D120" s="73">
        <f t="shared" si="4"/>
        <v>0</v>
      </c>
      <c r="E120" s="73">
        <f t="shared" si="5"/>
        <v>0</v>
      </c>
      <c r="F120" s="73">
        <f t="shared" si="6"/>
        <v>0</v>
      </c>
      <c r="G120" s="73">
        <f t="shared" si="7"/>
        <v>0</v>
      </c>
      <c r="H120" s="83">
        <f t="shared" si="8"/>
        <v>0</v>
      </c>
    </row>
    <row r="121" spans="2:8" outlineLevel="1" x14ac:dyDescent="0.25">
      <c r="B121" s="80">
        <v>9</v>
      </c>
      <c r="C121" s="73">
        <f t="shared" si="3"/>
        <v>0</v>
      </c>
      <c r="D121" s="73">
        <f t="shared" si="4"/>
        <v>0</v>
      </c>
      <c r="E121" s="73">
        <f t="shared" si="5"/>
        <v>0</v>
      </c>
      <c r="F121" s="73">
        <f t="shared" si="6"/>
        <v>0</v>
      </c>
      <c r="G121" s="73">
        <f t="shared" si="7"/>
        <v>0</v>
      </c>
      <c r="H121" s="83">
        <f t="shared" si="8"/>
        <v>0</v>
      </c>
    </row>
    <row r="122" spans="2:8" outlineLevel="1" x14ac:dyDescent="0.25">
      <c r="B122" s="80">
        <v>10</v>
      </c>
      <c r="C122" s="73">
        <f t="shared" si="3"/>
        <v>0</v>
      </c>
      <c r="D122" s="73">
        <f t="shared" si="4"/>
        <v>0</v>
      </c>
      <c r="E122" s="73">
        <f t="shared" si="5"/>
        <v>0</v>
      </c>
      <c r="F122" s="73">
        <f t="shared" si="6"/>
        <v>0</v>
      </c>
      <c r="G122" s="73">
        <f t="shared" si="7"/>
        <v>0</v>
      </c>
      <c r="H122" s="83">
        <f t="shared" si="8"/>
        <v>0</v>
      </c>
    </row>
    <row r="123" spans="2:8" outlineLevel="1" x14ac:dyDescent="0.25">
      <c r="B123" s="80">
        <v>11</v>
      </c>
      <c r="C123" s="73">
        <f t="shared" si="3"/>
        <v>0</v>
      </c>
      <c r="D123" s="73">
        <f t="shared" si="4"/>
        <v>0</v>
      </c>
      <c r="E123" s="73">
        <f t="shared" si="5"/>
        <v>0</v>
      </c>
      <c r="F123" s="73">
        <f t="shared" si="6"/>
        <v>0</v>
      </c>
      <c r="G123" s="73">
        <f t="shared" si="7"/>
        <v>0</v>
      </c>
      <c r="H123" s="83">
        <f t="shared" si="8"/>
        <v>0</v>
      </c>
    </row>
    <row r="124" spans="2:8" outlineLevel="1" x14ac:dyDescent="0.25">
      <c r="B124" s="80">
        <v>12</v>
      </c>
      <c r="C124" s="73">
        <f t="shared" si="3"/>
        <v>0</v>
      </c>
      <c r="D124" s="73">
        <f t="shared" si="4"/>
        <v>0</v>
      </c>
      <c r="E124" s="73">
        <f t="shared" si="5"/>
        <v>0</v>
      </c>
      <c r="F124" s="73">
        <f t="shared" si="6"/>
        <v>0</v>
      </c>
      <c r="G124" s="73">
        <f t="shared" si="7"/>
        <v>0</v>
      </c>
      <c r="H124" s="83">
        <f t="shared" si="8"/>
        <v>0</v>
      </c>
    </row>
    <row r="125" spans="2:8" outlineLevel="1" x14ac:dyDescent="0.25">
      <c r="B125" s="80">
        <v>13</v>
      </c>
      <c r="C125" s="73">
        <f t="shared" si="3"/>
        <v>0</v>
      </c>
      <c r="D125" s="73">
        <f t="shared" si="4"/>
        <v>0</v>
      </c>
      <c r="E125" s="73">
        <f t="shared" si="5"/>
        <v>0</v>
      </c>
      <c r="F125" s="73">
        <f t="shared" si="6"/>
        <v>0</v>
      </c>
      <c r="G125" s="73">
        <f t="shared" si="7"/>
        <v>0</v>
      </c>
      <c r="H125" s="83">
        <f t="shared" si="8"/>
        <v>0</v>
      </c>
    </row>
    <row r="126" spans="2:8" outlineLevel="1" x14ac:dyDescent="0.25">
      <c r="B126" s="80">
        <v>14</v>
      </c>
      <c r="C126" s="73">
        <f t="shared" si="3"/>
        <v>0</v>
      </c>
      <c r="D126" s="73">
        <f t="shared" si="4"/>
        <v>0</v>
      </c>
      <c r="E126" s="73">
        <f t="shared" si="5"/>
        <v>0</v>
      </c>
      <c r="F126" s="73">
        <f t="shared" si="6"/>
        <v>0</v>
      </c>
      <c r="G126" s="73">
        <f t="shared" si="7"/>
        <v>0</v>
      </c>
      <c r="H126" s="83">
        <f t="shared" si="8"/>
        <v>0</v>
      </c>
    </row>
    <row r="127" spans="2:8" outlineLevel="1" x14ac:dyDescent="0.25">
      <c r="B127" s="94">
        <v>15</v>
      </c>
      <c r="C127" s="95">
        <f t="shared" si="3"/>
        <v>0</v>
      </c>
      <c r="D127" s="95">
        <f t="shared" si="4"/>
        <v>0</v>
      </c>
      <c r="E127" s="95">
        <f t="shared" si="5"/>
        <v>0</v>
      </c>
      <c r="F127" s="95">
        <f t="shared" si="6"/>
        <v>0</v>
      </c>
      <c r="G127" s="95">
        <f t="shared" si="7"/>
        <v>0</v>
      </c>
      <c r="H127" s="96">
        <f t="shared" si="8"/>
        <v>0</v>
      </c>
    </row>
    <row r="128" spans="2:8" outlineLevel="1" x14ac:dyDescent="0.25"/>
    <row r="129" spans="1:16" outlineLevel="1" x14ac:dyDescent="0.25">
      <c r="C129" s="65" t="s">
        <v>7</v>
      </c>
      <c r="D129" s="65" t="s">
        <v>8</v>
      </c>
      <c r="E129" s="65" t="s">
        <v>9</v>
      </c>
      <c r="F129" s="65" t="s">
        <v>10</v>
      </c>
      <c r="G129" s="65" t="s">
        <v>11</v>
      </c>
      <c r="H129" s="65" t="s">
        <v>12</v>
      </c>
    </row>
    <row r="130" spans="1:16" outlineLevel="1" x14ac:dyDescent="0.25">
      <c r="C130" s="97">
        <f t="array" ref="C130:H130">LINEST(D90:D105,C112:H127,FALSE,FALSE)</f>
        <v>-8.7995417048579299</v>
      </c>
      <c r="D130" s="98">
        <v>9.6186984417965152E-2</v>
      </c>
      <c r="E130" s="98">
        <v>0</v>
      </c>
      <c r="F130" s="98">
        <v>0</v>
      </c>
      <c r="G130" s="98">
        <v>0</v>
      </c>
      <c r="H130" s="98">
        <v>0</v>
      </c>
    </row>
    <row r="131" spans="1:16" outlineLevel="1" x14ac:dyDescent="0.25"/>
    <row r="132" spans="1:16" outlineLevel="1" x14ac:dyDescent="0.25">
      <c r="A132" s="62" t="s">
        <v>125</v>
      </c>
      <c r="B132" s="62"/>
      <c r="C132" s="62"/>
      <c r="D132" s="62"/>
      <c r="E132" s="62"/>
      <c r="F132" s="62"/>
      <c r="G132" s="62"/>
      <c r="H132" s="62"/>
      <c r="I132" s="62"/>
      <c r="J132" s="62"/>
      <c r="K132" s="62"/>
      <c r="L132" s="62"/>
      <c r="M132" s="62"/>
      <c r="N132" s="62"/>
      <c r="O132" s="62"/>
      <c r="P132" s="62"/>
    </row>
    <row r="133" spans="1:16" outlineLevel="1" x14ac:dyDescent="0.25">
      <c r="B133" t="s">
        <v>133</v>
      </c>
      <c r="C133" s="65">
        <f>ABS(B185-B135)</f>
        <v>120</v>
      </c>
    </row>
    <row r="134" spans="1:16" outlineLevel="1" x14ac:dyDescent="0.25">
      <c r="B134" s="65" t="s">
        <v>4</v>
      </c>
      <c r="C134" s="73" t="s">
        <v>5</v>
      </c>
      <c r="D134" s="73"/>
      <c r="E134" s="73"/>
    </row>
    <row r="135" spans="1:16" outlineLevel="1" x14ac:dyDescent="0.25">
      <c r="B135" s="98">
        <f>F90-Calibration!$G$9</f>
        <v>50</v>
      </c>
      <c r="C135" s="64">
        <f>IF(B135="","",$C$130*B135^$H$111+$D$130*B135^$G$111+$E$130*B135^$F$111+$F$130*B135^$E$111+$G$130*B135^$D$111+$H$130*B135^$C$111)</f>
        <v>-3.9901924839596719</v>
      </c>
      <c r="D135" s="64"/>
      <c r="E135" s="99"/>
    </row>
    <row r="136" spans="1:16" outlineLevel="1" x14ac:dyDescent="0.25">
      <c r="B136" s="65">
        <f t="shared" ref="B136:B167" si="9">B135+$C$133/50</f>
        <v>52.4</v>
      </c>
      <c r="C136" s="64">
        <f t="shared" ref="C136:C185" si="10">IF(B136="","",$C$130*B136^$H$111+$D$130*B136^$G$111+$E$130*B136^$F$111+$F$130*B136^$E$111+$G$130*B136^$D$111+$H$130*B136^$C$111)</f>
        <v>-3.7593437213565561</v>
      </c>
      <c r="D136" s="64"/>
      <c r="E136" s="64"/>
    </row>
    <row r="137" spans="1:16" outlineLevel="1" x14ac:dyDescent="0.25">
      <c r="B137" s="65">
        <f t="shared" si="9"/>
        <v>54.8</v>
      </c>
      <c r="C137" s="64">
        <f t="shared" si="10"/>
        <v>-3.5284949587534395</v>
      </c>
      <c r="D137" s="64"/>
      <c r="E137" s="64"/>
      <c r="J137" s="65"/>
      <c r="K137" s="64"/>
      <c r="L137" s="64"/>
      <c r="M137" s="64"/>
    </row>
    <row r="138" spans="1:16" outlineLevel="1" x14ac:dyDescent="0.25">
      <c r="B138" s="65">
        <f t="shared" si="9"/>
        <v>57.199999999999996</v>
      </c>
      <c r="C138" s="64">
        <f t="shared" si="10"/>
        <v>-3.2976461961503238</v>
      </c>
      <c r="D138" s="64"/>
      <c r="E138" s="64"/>
      <c r="J138" s="65"/>
      <c r="K138" s="64"/>
      <c r="L138" s="64"/>
      <c r="M138" s="64"/>
    </row>
    <row r="139" spans="1:16" outlineLevel="1" x14ac:dyDescent="0.25">
      <c r="B139" s="65">
        <f t="shared" si="9"/>
        <v>59.599999999999994</v>
      </c>
      <c r="C139" s="64">
        <f t="shared" si="10"/>
        <v>-3.0667974335472072</v>
      </c>
      <c r="D139" s="64"/>
      <c r="E139" s="64"/>
      <c r="J139" s="65"/>
      <c r="K139" s="64"/>
      <c r="L139" s="64"/>
      <c r="M139" s="64"/>
    </row>
    <row r="140" spans="1:16" outlineLevel="1" x14ac:dyDescent="0.25">
      <c r="B140" s="65">
        <f t="shared" si="9"/>
        <v>61.999999999999993</v>
      </c>
      <c r="C140" s="64">
        <f t="shared" si="10"/>
        <v>-2.8359486709440915</v>
      </c>
      <c r="D140" s="64"/>
      <c r="E140" s="64"/>
      <c r="J140" s="65"/>
      <c r="K140" s="64"/>
      <c r="L140" s="64"/>
      <c r="M140" s="64"/>
    </row>
    <row r="141" spans="1:16" outlineLevel="1" x14ac:dyDescent="0.25">
      <c r="B141" s="65">
        <f t="shared" si="9"/>
        <v>64.399999999999991</v>
      </c>
      <c r="C141" s="64">
        <f t="shared" si="10"/>
        <v>-2.6050999083409749</v>
      </c>
      <c r="D141" s="64"/>
      <c r="E141" s="64"/>
      <c r="J141" s="65"/>
      <c r="K141" s="64"/>
      <c r="L141" s="64"/>
      <c r="M141" s="64"/>
    </row>
    <row r="142" spans="1:16" outlineLevel="1" x14ac:dyDescent="0.25">
      <c r="B142" s="65">
        <f t="shared" si="9"/>
        <v>66.8</v>
      </c>
      <c r="C142" s="64">
        <f t="shared" si="10"/>
        <v>-2.3742511457378583</v>
      </c>
      <c r="D142" s="64"/>
      <c r="E142" s="64"/>
      <c r="J142" s="65"/>
      <c r="K142" s="64"/>
      <c r="L142" s="64"/>
      <c r="M142" s="64"/>
    </row>
    <row r="143" spans="1:16" outlineLevel="1" x14ac:dyDescent="0.25">
      <c r="B143" s="65">
        <f t="shared" si="9"/>
        <v>69.2</v>
      </c>
      <c r="C143" s="64">
        <f t="shared" si="10"/>
        <v>-2.1434023831347409</v>
      </c>
      <c r="D143" s="64"/>
      <c r="E143" s="64"/>
      <c r="J143" s="65"/>
      <c r="K143" s="64"/>
      <c r="L143" s="64"/>
      <c r="M143" s="64"/>
    </row>
    <row r="144" spans="1:16" outlineLevel="1" x14ac:dyDescent="0.25">
      <c r="B144" s="65">
        <f t="shared" si="9"/>
        <v>71.600000000000009</v>
      </c>
      <c r="C144" s="64">
        <f t="shared" si="10"/>
        <v>-1.9125536205316243</v>
      </c>
      <c r="D144" s="64"/>
      <c r="E144" s="64"/>
      <c r="J144" s="65"/>
      <c r="K144" s="64"/>
      <c r="L144" s="64"/>
      <c r="M144" s="64"/>
    </row>
    <row r="145" spans="2:13" outlineLevel="1" x14ac:dyDescent="0.25">
      <c r="B145" s="65">
        <f t="shared" si="9"/>
        <v>74.000000000000014</v>
      </c>
      <c r="C145" s="64">
        <f t="shared" si="10"/>
        <v>-1.6817048579285077</v>
      </c>
      <c r="D145" s="64"/>
      <c r="E145" s="64"/>
      <c r="J145" s="65"/>
      <c r="K145" s="64"/>
      <c r="L145" s="64"/>
      <c r="M145" s="64"/>
    </row>
    <row r="146" spans="2:13" outlineLevel="1" x14ac:dyDescent="0.25">
      <c r="B146" s="65">
        <f t="shared" si="9"/>
        <v>76.40000000000002</v>
      </c>
      <c r="C146" s="64">
        <f t="shared" si="10"/>
        <v>-1.4508560953253902</v>
      </c>
      <c r="D146" s="64"/>
      <c r="E146" s="64"/>
      <c r="J146" s="65"/>
      <c r="K146" s="64"/>
      <c r="L146" s="64"/>
      <c r="M146" s="64"/>
    </row>
    <row r="147" spans="2:13" outlineLevel="1" x14ac:dyDescent="0.25">
      <c r="B147" s="65">
        <f t="shared" si="9"/>
        <v>78.800000000000026</v>
      </c>
      <c r="C147" s="64">
        <f t="shared" si="10"/>
        <v>-1.2200073327222736</v>
      </c>
      <c r="D147" s="64"/>
      <c r="E147" s="64"/>
      <c r="J147" s="65"/>
      <c r="K147" s="64"/>
      <c r="L147" s="64"/>
      <c r="M147" s="64"/>
    </row>
    <row r="148" spans="2:13" outlineLevel="1" x14ac:dyDescent="0.25">
      <c r="B148" s="65">
        <f t="shared" si="9"/>
        <v>81.200000000000031</v>
      </c>
      <c r="C148" s="64">
        <f t="shared" si="10"/>
        <v>-0.98915857011915609</v>
      </c>
      <c r="D148" s="64"/>
      <c r="E148" s="64"/>
      <c r="J148" s="65"/>
      <c r="K148" s="64"/>
      <c r="L148" s="64"/>
      <c r="M148" s="64"/>
    </row>
    <row r="149" spans="2:13" outlineLevel="1" x14ac:dyDescent="0.25">
      <c r="B149" s="65">
        <f t="shared" si="9"/>
        <v>83.600000000000037</v>
      </c>
      <c r="C149" s="64">
        <f t="shared" si="10"/>
        <v>-0.75830980751604038</v>
      </c>
      <c r="D149" s="64"/>
      <c r="E149" s="64"/>
      <c r="J149" s="65"/>
      <c r="K149" s="64"/>
      <c r="L149" s="64"/>
      <c r="M149" s="64"/>
    </row>
    <row r="150" spans="2:13" outlineLevel="1" x14ac:dyDescent="0.25">
      <c r="B150" s="65">
        <f t="shared" si="9"/>
        <v>86.000000000000043</v>
      </c>
      <c r="C150" s="64">
        <f t="shared" si="10"/>
        <v>-0.52746104491292201</v>
      </c>
      <c r="D150" s="64"/>
      <c r="E150" s="64"/>
      <c r="J150" s="65"/>
      <c r="K150" s="64"/>
      <c r="L150" s="64"/>
      <c r="M150" s="64"/>
    </row>
    <row r="151" spans="2:13" outlineLevel="1" x14ac:dyDescent="0.25">
      <c r="B151" s="65">
        <f t="shared" si="9"/>
        <v>88.400000000000048</v>
      </c>
      <c r="C151" s="64">
        <f t="shared" si="10"/>
        <v>-0.29661228230980541</v>
      </c>
      <c r="D151" s="64"/>
      <c r="E151" s="64"/>
      <c r="J151" s="65"/>
      <c r="K151" s="64"/>
      <c r="L151" s="64"/>
      <c r="M151" s="64"/>
    </row>
    <row r="152" spans="2:13" outlineLevel="1" x14ac:dyDescent="0.25">
      <c r="B152" s="65">
        <f t="shared" si="9"/>
        <v>90.800000000000054</v>
      </c>
      <c r="C152" s="64">
        <f t="shared" si="10"/>
        <v>-6.5763519706688811E-2</v>
      </c>
      <c r="D152" s="64"/>
      <c r="E152" s="64"/>
      <c r="J152" s="65"/>
      <c r="K152" s="64"/>
      <c r="L152" s="64"/>
      <c r="M152" s="64"/>
    </row>
    <row r="153" spans="2:13" outlineLevel="1" x14ac:dyDescent="0.25">
      <c r="B153" s="65">
        <f t="shared" si="9"/>
        <v>93.20000000000006</v>
      </c>
      <c r="C153" s="64">
        <f t="shared" si="10"/>
        <v>0.16508524289642779</v>
      </c>
      <c r="D153" s="64"/>
      <c r="E153" s="64"/>
      <c r="J153" s="65"/>
      <c r="K153" s="64"/>
      <c r="L153" s="64"/>
      <c r="M153" s="64"/>
    </row>
    <row r="154" spans="2:13" outlineLevel="1" x14ac:dyDescent="0.25">
      <c r="B154" s="65">
        <f t="shared" si="9"/>
        <v>95.600000000000065</v>
      </c>
      <c r="C154" s="64">
        <f t="shared" si="10"/>
        <v>0.39593400549954438</v>
      </c>
      <c r="D154" s="64"/>
      <c r="E154" s="64"/>
      <c r="J154" s="65"/>
      <c r="K154" s="64"/>
      <c r="L154" s="64"/>
      <c r="M154" s="64"/>
    </row>
    <row r="155" spans="2:13" outlineLevel="1" x14ac:dyDescent="0.25">
      <c r="B155" s="65">
        <f t="shared" si="9"/>
        <v>98.000000000000071</v>
      </c>
      <c r="C155" s="64">
        <f t="shared" si="10"/>
        <v>0.62678276810266098</v>
      </c>
      <c r="D155" s="64"/>
      <c r="E155" s="64"/>
      <c r="J155" s="65"/>
      <c r="K155" s="64"/>
      <c r="L155" s="64"/>
      <c r="M155" s="64"/>
    </row>
    <row r="156" spans="2:13" outlineLevel="1" x14ac:dyDescent="0.25">
      <c r="B156" s="65">
        <f t="shared" si="9"/>
        <v>100.40000000000008</v>
      </c>
      <c r="C156" s="64">
        <f t="shared" si="10"/>
        <v>0.85763153070577935</v>
      </c>
      <c r="D156" s="64"/>
      <c r="E156" s="64"/>
      <c r="J156" s="65"/>
      <c r="K156" s="64"/>
      <c r="L156" s="64"/>
      <c r="M156" s="64"/>
    </row>
    <row r="157" spans="2:13" outlineLevel="1" x14ac:dyDescent="0.25">
      <c r="B157" s="65">
        <f t="shared" si="9"/>
        <v>102.80000000000008</v>
      </c>
      <c r="C157" s="64">
        <f t="shared" si="10"/>
        <v>1.088480293308896</v>
      </c>
      <c r="D157" s="64"/>
      <c r="E157" s="64"/>
      <c r="J157" s="65"/>
      <c r="K157" s="64"/>
      <c r="L157" s="64"/>
      <c r="M157" s="64"/>
    </row>
    <row r="158" spans="2:13" outlineLevel="1" x14ac:dyDescent="0.25">
      <c r="B158" s="65">
        <f t="shared" si="9"/>
        <v>105.20000000000009</v>
      </c>
      <c r="C158" s="64">
        <f t="shared" si="10"/>
        <v>1.3193290559120125</v>
      </c>
      <c r="D158" s="64"/>
      <c r="E158" s="64"/>
      <c r="J158" s="65"/>
      <c r="K158" s="64"/>
      <c r="L158" s="64"/>
      <c r="M158" s="64"/>
    </row>
    <row r="159" spans="2:13" outlineLevel="1" x14ac:dyDescent="0.25">
      <c r="B159" s="65">
        <f t="shared" si="9"/>
        <v>107.60000000000009</v>
      </c>
      <c r="C159" s="64">
        <f t="shared" si="10"/>
        <v>1.5501778185151291</v>
      </c>
      <c r="D159" s="64"/>
      <c r="E159" s="64"/>
      <c r="J159" s="65"/>
      <c r="K159" s="64"/>
      <c r="L159" s="64"/>
      <c r="M159" s="64"/>
    </row>
    <row r="160" spans="2:13" outlineLevel="1" x14ac:dyDescent="0.25">
      <c r="B160" s="65">
        <f t="shared" si="9"/>
        <v>110.0000000000001</v>
      </c>
      <c r="C160" s="64">
        <f t="shared" si="10"/>
        <v>1.7810265811182457</v>
      </c>
      <c r="D160" s="64"/>
      <c r="E160" s="64"/>
      <c r="J160" s="65"/>
      <c r="K160" s="64"/>
      <c r="L160" s="64"/>
      <c r="M160" s="64"/>
    </row>
    <row r="161" spans="2:13" outlineLevel="1" x14ac:dyDescent="0.25">
      <c r="B161" s="65">
        <f t="shared" si="9"/>
        <v>112.40000000000011</v>
      </c>
      <c r="C161" s="64">
        <f t="shared" si="10"/>
        <v>2.0118753437213641</v>
      </c>
      <c r="D161" s="64"/>
      <c r="E161" s="64"/>
      <c r="J161" s="65"/>
      <c r="K161" s="64"/>
      <c r="L161" s="64"/>
      <c r="M161" s="64"/>
    </row>
    <row r="162" spans="2:13" outlineLevel="1" x14ac:dyDescent="0.25">
      <c r="B162" s="65">
        <f t="shared" si="9"/>
        <v>114.80000000000011</v>
      </c>
      <c r="C162" s="64">
        <f t="shared" si="10"/>
        <v>2.2427241063244807</v>
      </c>
      <c r="D162" s="64"/>
      <c r="E162" s="64"/>
      <c r="J162" s="65"/>
      <c r="K162" s="64"/>
      <c r="L162" s="64"/>
      <c r="M162" s="64"/>
    </row>
    <row r="163" spans="2:13" outlineLevel="1" x14ac:dyDescent="0.25">
      <c r="B163" s="65">
        <f t="shared" si="9"/>
        <v>117.20000000000012</v>
      </c>
      <c r="C163" s="64">
        <f t="shared" si="10"/>
        <v>2.4735728689275973</v>
      </c>
      <c r="D163" s="64"/>
      <c r="E163" s="64"/>
      <c r="J163" s="65"/>
      <c r="K163" s="64"/>
      <c r="L163" s="64"/>
      <c r="M163" s="64"/>
    </row>
    <row r="164" spans="2:13" outlineLevel="1" x14ac:dyDescent="0.25">
      <c r="B164" s="65">
        <f t="shared" si="9"/>
        <v>119.60000000000012</v>
      </c>
      <c r="C164" s="64">
        <f t="shared" si="10"/>
        <v>2.7044216315307139</v>
      </c>
      <c r="D164" s="64"/>
      <c r="E164" s="64"/>
      <c r="J164" s="65"/>
      <c r="K164" s="64"/>
      <c r="L164" s="64"/>
      <c r="M164" s="64"/>
    </row>
    <row r="165" spans="2:13" outlineLevel="1" x14ac:dyDescent="0.25">
      <c r="B165" s="65">
        <f t="shared" si="9"/>
        <v>122.00000000000013</v>
      </c>
      <c r="C165" s="64">
        <f t="shared" si="10"/>
        <v>2.9352703941338305</v>
      </c>
      <c r="D165" s="64"/>
      <c r="E165" s="64"/>
      <c r="J165" s="65"/>
      <c r="K165" s="64"/>
      <c r="L165" s="64"/>
      <c r="M165" s="64"/>
    </row>
    <row r="166" spans="2:13" outlineLevel="1" x14ac:dyDescent="0.25">
      <c r="B166" s="65">
        <f t="shared" si="9"/>
        <v>124.40000000000013</v>
      </c>
      <c r="C166" s="64">
        <f t="shared" si="10"/>
        <v>3.1661191567369471</v>
      </c>
      <c r="D166" s="64"/>
      <c r="E166" s="64"/>
      <c r="J166" s="65"/>
      <c r="K166" s="64"/>
      <c r="L166" s="64"/>
      <c r="M166" s="64"/>
    </row>
    <row r="167" spans="2:13" outlineLevel="1" x14ac:dyDescent="0.25">
      <c r="B167" s="65">
        <f t="shared" si="9"/>
        <v>126.80000000000014</v>
      </c>
      <c r="C167" s="64">
        <f t="shared" si="10"/>
        <v>3.3969679193400655</v>
      </c>
      <c r="D167" s="64"/>
      <c r="E167" s="64"/>
      <c r="J167" s="65"/>
      <c r="K167" s="64"/>
      <c r="L167" s="64"/>
      <c r="M167" s="64"/>
    </row>
    <row r="168" spans="2:13" outlineLevel="1" x14ac:dyDescent="0.25">
      <c r="B168" s="65">
        <f t="shared" ref="B168:B184" si="11">B167+$C$133/50</f>
        <v>129.20000000000013</v>
      </c>
      <c r="C168" s="64">
        <f t="shared" si="10"/>
        <v>3.6278166819431803</v>
      </c>
      <c r="D168" s="64"/>
      <c r="E168" s="64"/>
      <c r="J168" s="65"/>
      <c r="K168" s="64"/>
      <c r="L168" s="64"/>
      <c r="M168" s="64"/>
    </row>
    <row r="169" spans="2:13" outlineLevel="1" x14ac:dyDescent="0.25">
      <c r="B169" s="65">
        <f t="shared" si="11"/>
        <v>131.60000000000014</v>
      </c>
      <c r="C169" s="64">
        <f t="shared" si="10"/>
        <v>3.8586654445462969</v>
      </c>
      <c r="D169" s="64"/>
      <c r="E169" s="64"/>
      <c r="J169" s="65"/>
      <c r="K169" s="64"/>
      <c r="L169" s="64"/>
      <c r="M169" s="64"/>
    </row>
    <row r="170" spans="2:13" outlineLevel="1" x14ac:dyDescent="0.25">
      <c r="B170" s="65">
        <f t="shared" si="11"/>
        <v>134.00000000000014</v>
      </c>
      <c r="C170" s="64">
        <f t="shared" si="10"/>
        <v>4.0895142071494135</v>
      </c>
      <c r="D170" s="64"/>
      <c r="E170" s="64"/>
      <c r="J170" s="65"/>
      <c r="K170" s="64"/>
      <c r="L170" s="64"/>
      <c r="M170" s="64"/>
    </row>
    <row r="171" spans="2:13" outlineLevel="1" x14ac:dyDescent="0.25">
      <c r="B171" s="65">
        <f t="shared" si="11"/>
        <v>136.40000000000015</v>
      </c>
      <c r="C171" s="64">
        <f t="shared" si="10"/>
        <v>4.3203629697525319</v>
      </c>
      <c r="D171" s="64"/>
      <c r="E171" s="64"/>
      <c r="J171" s="65"/>
      <c r="K171" s="64"/>
      <c r="L171" s="64"/>
      <c r="M171" s="64"/>
    </row>
    <row r="172" spans="2:13" outlineLevel="1" x14ac:dyDescent="0.25">
      <c r="B172" s="65">
        <f t="shared" si="11"/>
        <v>138.80000000000015</v>
      </c>
      <c r="C172" s="64">
        <f t="shared" si="10"/>
        <v>4.5512117323556485</v>
      </c>
      <c r="D172" s="64"/>
      <c r="E172" s="64"/>
      <c r="J172" s="65"/>
      <c r="K172" s="64"/>
      <c r="L172" s="64"/>
      <c r="M172" s="64"/>
    </row>
    <row r="173" spans="2:13" outlineLevel="1" x14ac:dyDescent="0.25">
      <c r="B173" s="65">
        <f t="shared" si="11"/>
        <v>141.20000000000016</v>
      </c>
      <c r="C173" s="64">
        <f t="shared" si="10"/>
        <v>4.7820604949587651</v>
      </c>
      <c r="D173" s="64"/>
      <c r="E173" s="64"/>
      <c r="J173" s="65"/>
      <c r="K173" s="64"/>
      <c r="L173" s="64"/>
      <c r="M173" s="64"/>
    </row>
    <row r="174" spans="2:13" outlineLevel="1" x14ac:dyDescent="0.25">
      <c r="B174" s="65">
        <f t="shared" si="11"/>
        <v>143.60000000000016</v>
      </c>
      <c r="C174" s="64">
        <f t="shared" si="10"/>
        <v>5.0129092575618817</v>
      </c>
      <c r="D174" s="64"/>
      <c r="E174" s="64"/>
      <c r="J174" s="65"/>
      <c r="K174" s="64"/>
      <c r="L174" s="64"/>
      <c r="M174" s="64"/>
    </row>
    <row r="175" spans="2:13" outlineLevel="1" x14ac:dyDescent="0.25">
      <c r="B175" s="65">
        <f t="shared" si="11"/>
        <v>146.00000000000017</v>
      </c>
      <c r="C175" s="64">
        <f t="shared" si="10"/>
        <v>5.2437580201649983</v>
      </c>
      <c r="D175" s="64"/>
      <c r="E175" s="64"/>
      <c r="J175" s="65"/>
      <c r="K175" s="64"/>
      <c r="L175" s="64"/>
      <c r="M175" s="64"/>
    </row>
    <row r="176" spans="2:13" outlineLevel="1" x14ac:dyDescent="0.25">
      <c r="B176" s="65">
        <f t="shared" si="11"/>
        <v>148.40000000000018</v>
      </c>
      <c r="C176" s="64">
        <f t="shared" si="10"/>
        <v>5.4746067827681149</v>
      </c>
      <c r="D176" s="64"/>
      <c r="E176" s="64"/>
      <c r="J176" s="65"/>
      <c r="K176" s="64"/>
      <c r="L176" s="64"/>
      <c r="M176" s="64"/>
    </row>
    <row r="177" spans="1:16" outlineLevel="1" x14ac:dyDescent="0.25">
      <c r="B177" s="65">
        <f t="shared" si="11"/>
        <v>150.80000000000018</v>
      </c>
      <c r="C177" s="64">
        <f t="shared" si="10"/>
        <v>5.7054555453712332</v>
      </c>
      <c r="D177" s="64"/>
      <c r="E177" s="64"/>
      <c r="J177" s="65"/>
      <c r="K177" s="64"/>
      <c r="L177" s="64"/>
      <c r="M177" s="64"/>
    </row>
    <row r="178" spans="1:16" outlineLevel="1" x14ac:dyDescent="0.25">
      <c r="B178" s="65">
        <f t="shared" si="11"/>
        <v>153.20000000000019</v>
      </c>
      <c r="C178" s="64">
        <f t="shared" si="10"/>
        <v>5.9363043079743498</v>
      </c>
      <c r="D178" s="64"/>
      <c r="E178" s="64"/>
      <c r="J178" s="65"/>
      <c r="K178" s="64"/>
      <c r="L178" s="64"/>
      <c r="M178" s="64"/>
    </row>
    <row r="179" spans="1:16" outlineLevel="1" x14ac:dyDescent="0.25">
      <c r="B179" s="65">
        <f t="shared" si="11"/>
        <v>155.60000000000019</v>
      </c>
      <c r="C179" s="64">
        <f t="shared" si="10"/>
        <v>6.1671530705774664</v>
      </c>
      <c r="D179" s="64"/>
      <c r="E179" s="64"/>
      <c r="J179" s="65"/>
      <c r="K179" s="64"/>
      <c r="L179" s="64"/>
      <c r="M179" s="64"/>
    </row>
    <row r="180" spans="1:16" outlineLevel="1" x14ac:dyDescent="0.25">
      <c r="B180" s="65">
        <f t="shared" si="11"/>
        <v>158.0000000000002</v>
      </c>
      <c r="C180" s="64">
        <f t="shared" si="10"/>
        <v>6.398001833180583</v>
      </c>
      <c r="D180" s="64"/>
      <c r="E180" s="64"/>
      <c r="J180" s="65"/>
      <c r="K180" s="64"/>
      <c r="L180" s="64"/>
      <c r="M180" s="64"/>
    </row>
    <row r="181" spans="1:16" outlineLevel="1" x14ac:dyDescent="0.25">
      <c r="B181" s="65">
        <f t="shared" si="11"/>
        <v>160.4000000000002</v>
      </c>
      <c r="C181" s="64">
        <f t="shared" si="10"/>
        <v>6.6288505957836996</v>
      </c>
      <c r="D181" s="64"/>
      <c r="E181" s="64"/>
      <c r="J181" s="65"/>
      <c r="K181" s="64"/>
      <c r="L181" s="64"/>
      <c r="M181" s="64"/>
    </row>
    <row r="182" spans="1:16" outlineLevel="1" x14ac:dyDescent="0.25">
      <c r="B182" s="65">
        <f t="shared" si="11"/>
        <v>162.80000000000021</v>
      </c>
      <c r="C182" s="64">
        <f t="shared" si="10"/>
        <v>6.8596993583868162</v>
      </c>
      <c r="D182" s="64"/>
      <c r="E182" s="64"/>
      <c r="J182" s="65"/>
      <c r="K182" s="64"/>
      <c r="L182" s="64"/>
      <c r="M182" s="64"/>
    </row>
    <row r="183" spans="1:16" outlineLevel="1" x14ac:dyDescent="0.25">
      <c r="B183" s="65">
        <f t="shared" si="11"/>
        <v>165.20000000000022</v>
      </c>
      <c r="C183" s="64">
        <f t="shared" si="10"/>
        <v>7.0905481209899346</v>
      </c>
      <c r="D183" s="64"/>
      <c r="E183" s="64"/>
      <c r="J183" s="65"/>
      <c r="K183" s="64"/>
      <c r="L183" s="64"/>
      <c r="M183" s="64"/>
    </row>
    <row r="184" spans="1:16" outlineLevel="1" x14ac:dyDescent="0.25">
      <c r="B184" s="65">
        <f t="shared" si="11"/>
        <v>167.60000000000022</v>
      </c>
      <c r="C184" s="64">
        <f t="shared" si="10"/>
        <v>7.3213968835930494</v>
      </c>
      <c r="D184" s="64"/>
      <c r="E184" s="64"/>
      <c r="J184" s="65"/>
      <c r="K184" s="64"/>
      <c r="L184" s="64"/>
      <c r="M184" s="64"/>
    </row>
    <row r="185" spans="1:16" outlineLevel="1" x14ac:dyDescent="0.25">
      <c r="B185" s="98">
        <f>MAX(F90:F105)+Calibration!$G$9</f>
        <v>170</v>
      </c>
      <c r="C185" s="64">
        <f t="shared" si="10"/>
        <v>7.5522456461961447</v>
      </c>
      <c r="D185" s="64"/>
      <c r="E185" s="64"/>
      <c r="J185" s="65"/>
      <c r="K185" s="64"/>
      <c r="L185" s="64"/>
      <c r="M185" s="64"/>
    </row>
    <row r="186" spans="1:16" outlineLevel="1" x14ac:dyDescent="0.25">
      <c r="J186" s="65"/>
      <c r="K186" s="64"/>
      <c r="L186" s="64"/>
      <c r="M186" s="64"/>
    </row>
    <row r="187" spans="1:16" outlineLevel="1" x14ac:dyDescent="0.25">
      <c r="A187" s="62" t="s">
        <v>135</v>
      </c>
      <c r="B187" s="62"/>
      <c r="C187" s="62"/>
      <c r="D187" s="62"/>
      <c r="E187" s="62"/>
      <c r="F187" s="62"/>
      <c r="G187" s="62"/>
      <c r="H187" s="62"/>
      <c r="I187" s="62"/>
      <c r="J187" s="62"/>
      <c r="K187" s="62"/>
      <c r="L187" s="62"/>
      <c r="M187" s="62"/>
      <c r="N187" s="62"/>
      <c r="O187" s="62"/>
      <c r="P187" s="62"/>
    </row>
    <row r="188" spans="1:16" outlineLevel="1" x14ac:dyDescent="0.25">
      <c r="B188" s="225" t="s">
        <v>134</v>
      </c>
      <c r="C188" s="225"/>
      <c r="E188" s="65"/>
      <c r="F188" s="65"/>
      <c r="G188" s="65"/>
      <c r="H188" s="65"/>
      <c r="J188" s="65"/>
      <c r="K188" s="64"/>
      <c r="L188" s="64"/>
      <c r="M188" s="64"/>
    </row>
    <row r="189" spans="1:16" outlineLevel="1" x14ac:dyDescent="0.25">
      <c r="B189" s="78" t="s">
        <v>4</v>
      </c>
      <c r="C189" s="79" t="s">
        <v>5</v>
      </c>
      <c r="E189" s="73" t="s">
        <v>35</v>
      </c>
      <c r="F189" s="73" t="s">
        <v>136</v>
      </c>
      <c r="G189" s="73" t="s">
        <v>137</v>
      </c>
      <c r="I189" s="73"/>
      <c r="J189" s="73"/>
      <c r="K189" s="64"/>
      <c r="L189" s="64"/>
      <c r="M189" s="64"/>
    </row>
    <row r="190" spans="1:16" outlineLevel="1" x14ac:dyDescent="0.25">
      <c r="B190" s="81">
        <f t="shared" ref="B190:B205" si="12">IF(F90&lt;&gt;"",F90,"")</f>
        <v>60</v>
      </c>
      <c r="C190" s="100">
        <f t="shared" ref="C190:C205" si="13">IF(B190="","",$C$130*F90^$H$111+$D$130*F90^$G$111+$E$130*F90^$F$111+$F$130*F90^$E$111+$G$130*F90^$D$111+$H$130*F90^$C$111)</f>
        <v>-3.0283226397800211</v>
      </c>
      <c r="E190" s="63">
        <f>AVERAGE(G90:G105)</f>
        <v>3.8250000000000002</v>
      </c>
      <c r="F190" s="63">
        <f>IF(G90&lt;&gt;"",(C190-$E$190)^2,"")</f>
        <v>46.968031204921402</v>
      </c>
      <c r="G190" s="63">
        <f>IF(F190&lt;&gt;"",(G90-$E$190)^2,"")</f>
        <v>46.580625000000005</v>
      </c>
      <c r="I190" s="63"/>
      <c r="J190" s="63"/>
      <c r="K190" s="64"/>
      <c r="L190" s="64"/>
      <c r="M190" s="64"/>
    </row>
    <row r="191" spans="1:16" outlineLevel="1" x14ac:dyDescent="0.25">
      <c r="B191" s="81">
        <f t="shared" si="12"/>
        <v>150</v>
      </c>
      <c r="C191" s="100">
        <f t="shared" si="13"/>
        <v>5.6285059578368433</v>
      </c>
      <c r="F191" s="63">
        <f t="shared" ref="F191:F205" si="14">IF(G91&lt;&gt;"",(C191-$E$190)^2,"")</f>
        <v>3.252633739952989</v>
      </c>
      <c r="G191" s="63">
        <f t="shared" ref="G191:G205" si="15">IF(F191&lt;&gt;"",(G91-$E$190)^2,"")</f>
        <v>2.8056249999999996</v>
      </c>
      <c r="H191" s="63"/>
      <c r="I191" s="63"/>
      <c r="J191" s="63"/>
      <c r="K191" s="64"/>
      <c r="L191" s="64"/>
      <c r="M191" s="64"/>
    </row>
    <row r="192" spans="1:16" outlineLevel="1" x14ac:dyDescent="0.25">
      <c r="B192" s="81">
        <f t="shared" si="12"/>
        <v>155</v>
      </c>
      <c r="C192" s="100">
        <f t="shared" si="13"/>
        <v>6.1094408799266695</v>
      </c>
      <c r="F192" s="63">
        <f t="shared" si="14"/>
        <v>5.2186701338801349</v>
      </c>
      <c r="G192" s="63">
        <f t="shared" si="15"/>
        <v>3.9006249999999985</v>
      </c>
      <c r="H192" s="63"/>
      <c r="I192" s="63"/>
      <c r="J192" s="63"/>
      <c r="K192" s="64"/>
      <c r="L192" s="64"/>
      <c r="M192" s="64"/>
    </row>
    <row r="193" spans="2:13" outlineLevel="1" x14ac:dyDescent="0.25">
      <c r="B193" s="81">
        <f t="shared" si="12"/>
        <v>160</v>
      </c>
      <c r="C193" s="100">
        <f t="shared" si="13"/>
        <v>6.590375802016494</v>
      </c>
      <c r="F193" s="63">
        <f t="shared" si="14"/>
        <v>7.6473033263783661</v>
      </c>
      <c r="G193" s="63">
        <f t="shared" si="15"/>
        <v>10.080625</v>
      </c>
      <c r="H193" s="63"/>
      <c r="I193" s="63"/>
      <c r="J193" s="63"/>
      <c r="K193" s="64"/>
      <c r="L193" s="64"/>
      <c r="M193" s="64"/>
    </row>
    <row r="194" spans="2:13" outlineLevel="1" x14ac:dyDescent="0.25">
      <c r="B194" s="81" t="str">
        <f t="shared" si="12"/>
        <v/>
      </c>
      <c r="C194" s="100" t="str">
        <f t="shared" si="13"/>
        <v/>
      </c>
      <c r="E194" s="63" t="str">
        <f t="shared" ref="E194:E205" si="16">IF(G94&lt;&gt;"",G94-C194,"")</f>
        <v/>
      </c>
      <c r="F194" s="63" t="str">
        <f t="shared" si="14"/>
        <v/>
      </c>
      <c r="G194" s="63" t="str">
        <f t="shared" si="15"/>
        <v/>
      </c>
      <c r="H194" s="63" t="str">
        <f t="shared" ref="H194:H205" si="17">IF(G94&lt;&gt;"",G94-$E$190,"")</f>
        <v/>
      </c>
      <c r="I194" s="63"/>
      <c r="J194" s="65"/>
      <c r="K194" s="64"/>
      <c r="L194" s="64"/>
      <c r="M194" s="64"/>
    </row>
    <row r="195" spans="2:13" outlineLevel="1" x14ac:dyDescent="0.25">
      <c r="B195" s="81" t="str">
        <f t="shared" si="12"/>
        <v/>
      </c>
      <c r="C195" s="100" t="str">
        <f t="shared" si="13"/>
        <v/>
      </c>
      <c r="E195" s="63" t="str">
        <f t="shared" si="16"/>
        <v/>
      </c>
      <c r="F195" s="63" t="str">
        <f t="shared" si="14"/>
        <v/>
      </c>
      <c r="G195" s="63" t="str">
        <f t="shared" si="15"/>
        <v/>
      </c>
      <c r="H195" s="63" t="str">
        <f t="shared" si="17"/>
        <v/>
      </c>
      <c r="I195" s="63"/>
      <c r="J195" s="65"/>
      <c r="K195" s="64"/>
      <c r="L195" s="64"/>
      <c r="M195" s="64"/>
    </row>
    <row r="196" spans="2:13" outlineLevel="1" x14ac:dyDescent="0.25">
      <c r="B196" s="81" t="str">
        <f t="shared" si="12"/>
        <v/>
      </c>
      <c r="C196" s="100" t="str">
        <f t="shared" si="13"/>
        <v/>
      </c>
      <c r="E196" s="63" t="str">
        <f t="shared" si="16"/>
        <v/>
      </c>
      <c r="F196" s="63" t="str">
        <f t="shared" si="14"/>
        <v/>
      </c>
      <c r="G196" s="63" t="str">
        <f t="shared" si="15"/>
        <v/>
      </c>
      <c r="H196" s="63" t="str">
        <f t="shared" si="17"/>
        <v/>
      </c>
      <c r="I196" s="63"/>
      <c r="J196" s="65"/>
      <c r="K196" s="64"/>
      <c r="L196" s="64"/>
      <c r="M196" s="64"/>
    </row>
    <row r="197" spans="2:13" outlineLevel="1" x14ac:dyDescent="0.25">
      <c r="B197" s="81" t="str">
        <f t="shared" si="12"/>
        <v/>
      </c>
      <c r="C197" s="100" t="str">
        <f t="shared" si="13"/>
        <v/>
      </c>
      <c r="E197" s="63" t="str">
        <f t="shared" si="16"/>
        <v/>
      </c>
      <c r="F197" s="63" t="str">
        <f t="shared" si="14"/>
        <v/>
      </c>
      <c r="G197" s="63" t="str">
        <f t="shared" si="15"/>
        <v/>
      </c>
      <c r="H197" s="63" t="str">
        <f t="shared" si="17"/>
        <v/>
      </c>
      <c r="I197" s="63"/>
      <c r="J197" s="65"/>
      <c r="K197" s="64"/>
      <c r="L197" s="64"/>
      <c r="M197" s="64"/>
    </row>
    <row r="198" spans="2:13" outlineLevel="1" x14ac:dyDescent="0.25">
      <c r="B198" s="81" t="str">
        <f t="shared" si="12"/>
        <v/>
      </c>
      <c r="C198" s="100" t="str">
        <f t="shared" si="13"/>
        <v/>
      </c>
      <c r="E198" s="63" t="str">
        <f t="shared" si="16"/>
        <v/>
      </c>
      <c r="F198" s="63" t="str">
        <f t="shared" si="14"/>
        <v/>
      </c>
      <c r="G198" s="63" t="str">
        <f t="shared" si="15"/>
        <v/>
      </c>
      <c r="H198" s="63" t="str">
        <f t="shared" si="17"/>
        <v/>
      </c>
      <c r="I198" s="63"/>
      <c r="J198" s="65"/>
      <c r="K198" s="64"/>
      <c r="L198" s="64"/>
      <c r="M198" s="64"/>
    </row>
    <row r="199" spans="2:13" outlineLevel="1" x14ac:dyDescent="0.25">
      <c r="B199" s="81" t="str">
        <f t="shared" si="12"/>
        <v/>
      </c>
      <c r="C199" s="100" t="str">
        <f t="shared" si="13"/>
        <v/>
      </c>
      <c r="E199" s="63" t="str">
        <f t="shared" si="16"/>
        <v/>
      </c>
      <c r="F199" s="63" t="str">
        <f t="shared" si="14"/>
        <v/>
      </c>
      <c r="G199" s="63" t="str">
        <f t="shared" si="15"/>
        <v/>
      </c>
      <c r="H199" s="63" t="str">
        <f t="shared" si="17"/>
        <v/>
      </c>
      <c r="I199" s="63"/>
      <c r="J199" s="65"/>
      <c r="K199" s="64"/>
      <c r="L199" s="64"/>
      <c r="M199" s="64"/>
    </row>
    <row r="200" spans="2:13" outlineLevel="1" x14ac:dyDescent="0.25">
      <c r="B200" s="81" t="str">
        <f t="shared" si="12"/>
        <v/>
      </c>
      <c r="C200" s="100" t="str">
        <f t="shared" si="13"/>
        <v/>
      </c>
      <c r="E200" s="63" t="str">
        <f t="shared" si="16"/>
        <v/>
      </c>
      <c r="F200" s="63" t="str">
        <f t="shared" si="14"/>
        <v/>
      </c>
      <c r="G200" s="63" t="str">
        <f t="shared" si="15"/>
        <v/>
      </c>
      <c r="H200" s="63" t="str">
        <f t="shared" si="17"/>
        <v/>
      </c>
      <c r="I200" s="63"/>
      <c r="J200" s="65"/>
      <c r="K200" s="64"/>
      <c r="L200" s="64"/>
      <c r="M200" s="64"/>
    </row>
    <row r="201" spans="2:13" outlineLevel="1" x14ac:dyDescent="0.25">
      <c r="B201" s="81" t="str">
        <f t="shared" si="12"/>
        <v/>
      </c>
      <c r="C201" s="100" t="str">
        <f t="shared" si="13"/>
        <v/>
      </c>
      <c r="E201" s="63" t="str">
        <f t="shared" si="16"/>
        <v/>
      </c>
      <c r="F201" s="63" t="str">
        <f t="shared" si="14"/>
        <v/>
      </c>
      <c r="G201" s="63" t="str">
        <f t="shared" si="15"/>
        <v/>
      </c>
      <c r="H201" s="63" t="str">
        <f t="shared" si="17"/>
        <v/>
      </c>
      <c r="I201" s="63"/>
      <c r="J201" s="65"/>
      <c r="K201" s="64"/>
      <c r="L201" s="64"/>
      <c r="M201" s="64"/>
    </row>
    <row r="202" spans="2:13" outlineLevel="1" x14ac:dyDescent="0.25">
      <c r="B202" s="81" t="str">
        <f t="shared" si="12"/>
        <v/>
      </c>
      <c r="C202" s="100" t="str">
        <f t="shared" si="13"/>
        <v/>
      </c>
      <c r="E202" s="63" t="str">
        <f t="shared" si="16"/>
        <v/>
      </c>
      <c r="F202" s="63" t="str">
        <f t="shared" si="14"/>
        <v/>
      </c>
      <c r="G202" s="63" t="str">
        <f t="shared" si="15"/>
        <v/>
      </c>
      <c r="H202" s="63" t="str">
        <f t="shared" si="17"/>
        <v/>
      </c>
      <c r="I202" s="63"/>
      <c r="J202" s="65"/>
      <c r="K202" s="64"/>
      <c r="L202" s="64"/>
      <c r="M202" s="64"/>
    </row>
    <row r="203" spans="2:13" outlineLevel="1" x14ac:dyDescent="0.25">
      <c r="B203" s="81" t="str">
        <f t="shared" si="12"/>
        <v/>
      </c>
      <c r="C203" s="100" t="str">
        <f t="shared" si="13"/>
        <v/>
      </c>
      <c r="E203" s="63" t="str">
        <f t="shared" si="16"/>
        <v/>
      </c>
      <c r="F203" s="63" t="str">
        <f t="shared" si="14"/>
        <v/>
      </c>
      <c r="G203" s="63" t="str">
        <f t="shared" si="15"/>
        <v/>
      </c>
      <c r="H203" s="63" t="str">
        <f t="shared" si="17"/>
        <v/>
      </c>
      <c r="I203" s="63"/>
      <c r="J203" s="65"/>
      <c r="K203" s="64"/>
      <c r="L203" s="64"/>
      <c r="M203" s="64"/>
    </row>
    <row r="204" spans="2:13" outlineLevel="1" x14ac:dyDescent="0.25">
      <c r="B204" s="81" t="str">
        <f t="shared" si="12"/>
        <v/>
      </c>
      <c r="C204" s="100" t="str">
        <f t="shared" si="13"/>
        <v/>
      </c>
      <c r="E204" s="63" t="str">
        <f t="shared" si="16"/>
        <v/>
      </c>
      <c r="F204" s="63" t="str">
        <f t="shared" si="14"/>
        <v/>
      </c>
      <c r="G204" s="63" t="str">
        <f t="shared" si="15"/>
        <v/>
      </c>
      <c r="H204" s="63" t="str">
        <f t="shared" si="17"/>
        <v/>
      </c>
      <c r="I204" s="63"/>
      <c r="J204" s="65"/>
      <c r="K204" s="64"/>
      <c r="L204" s="64"/>
      <c r="M204" s="64"/>
    </row>
    <row r="205" spans="2:13" outlineLevel="1" x14ac:dyDescent="0.25">
      <c r="B205" s="88" t="str">
        <f t="shared" si="12"/>
        <v/>
      </c>
      <c r="C205" s="101" t="str">
        <f t="shared" si="13"/>
        <v/>
      </c>
      <c r="E205" s="63" t="str">
        <f t="shared" si="16"/>
        <v/>
      </c>
      <c r="F205" s="63" t="str">
        <f t="shared" si="14"/>
        <v/>
      </c>
      <c r="G205" s="63" t="str">
        <f t="shared" si="15"/>
        <v/>
      </c>
      <c r="H205" s="63" t="str">
        <f t="shared" si="17"/>
        <v/>
      </c>
      <c r="I205" s="63"/>
      <c r="J205" s="65"/>
      <c r="K205" s="64"/>
      <c r="L205" s="64"/>
      <c r="M205" s="64"/>
    </row>
    <row r="206" spans="2:13" outlineLevel="1" x14ac:dyDescent="0.25">
      <c r="E206" s="65" t="s">
        <v>138</v>
      </c>
      <c r="F206" s="64">
        <f>SUM(F190:F205)</f>
        <v>63.086638405132888</v>
      </c>
      <c r="G206" s="64">
        <f>SUM(G190:G205)</f>
        <v>63.3675</v>
      </c>
      <c r="H206" s="64"/>
      <c r="I206" s="64"/>
      <c r="J206" s="65"/>
      <c r="K206" s="64"/>
      <c r="L206" s="64"/>
      <c r="M206" s="64"/>
    </row>
    <row r="207" spans="2:13" outlineLevel="1" x14ac:dyDescent="0.25">
      <c r="E207" s="65" t="s">
        <v>34</v>
      </c>
      <c r="F207" s="221">
        <f>F206/G206</f>
        <v>0.99556773432963097</v>
      </c>
      <c r="G207" s="221"/>
      <c r="J207" s="65"/>
      <c r="K207" s="64"/>
      <c r="L207" s="64"/>
      <c r="M207" s="64"/>
    </row>
    <row r="208" spans="2:13" outlineLevel="1" x14ac:dyDescent="0.25">
      <c r="E208" s="65"/>
      <c r="F208" s="102"/>
      <c r="G208" s="102"/>
      <c r="J208" s="65"/>
      <c r="K208" s="64"/>
      <c r="L208" s="64"/>
      <c r="M208" s="64"/>
    </row>
    <row r="209" spans="1:16" outlineLevel="1" x14ac:dyDescent="0.25">
      <c r="J209" s="65"/>
      <c r="K209" s="64"/>
      <c r="L209" s="64"/>
      <c r="M209" s="64"/>
    </row>
    <row r="210" spans="1:16" outlineLevel="1" x14ac:dyDescent="0.25">
      <c r="J210" s="65"/>
      <c r="K210" s="64"/>
      <c r="L210" s="64"/>
      <c r="M210" s="64"/>
    </row>
    <row r="211" spans="1:16" ht="15" customHeight="1" x14ac:dyDescent="0.25">
      <c r="A211" s="103"/>
      <c r="B211" s="103"/>
      <c r="C211" s="103"/>
      <c r="D211" s="103"/>
      <c r="E211" s="103"/>
      <c r="F211" s="103"/>
      <c r="G211" s="103"/>
      <c r="H211" s="103"/>
      <c r="I211" s="103"/>
      <c r="J211" s="103"/>
      <c r="K211" s="103"/>
      <c r="L211" s="103"/>
      <c r="M211" s="103"/>
      <c r="N211" s="103"/>
      <c r="O211" s="103"/>
      <c r="P211" s="103"/>
    </row>
    <row r="212" spans="1:16" ht="18.75" x14ac:dyDescent="0.25">
      <c r="A212" s="220" t="s">
        <v>142</v>
      </c>
      <c r="B212" s="220"/>
      <c r="C212" s="220"/>
      <c r="D212" s="220"/>
      <c r="E212" s="60"/>
      <c r="F212" s="60"/>
      <c r="G212" s="60"/>
      <c r="H212" s="60"/>
      <c r="I212" s="60"/>
      <c r="J212" s="60"/>
      <c r="K212" s="60"/>
      <c r="L212" s="60"/>
      <c r="M212" s="60"/>
      <c r="N212" s="60"/>
      <c r="O212" s="60"/>
      <c r="P212" s="60"/>
    </row>
    <row r="213" spans="1:16" x14ac:dyDescent="0.25">
      <c r="A213" s="136" t="s">
        <v>139</v>
      </c>
      <c r="B213" s="136"/>
      <c r="C213" s="140"/>
      <c r="D213" s="140"/>
      <c r="E213" s="140"/>
      <c r="F213" s="140"/>
      <c r="G213" s="140"/>
      <c r="H213" s="140"/>
      <c r="I213" s="140"/>
      <c r="J213" s="140"/>
      <c r="K213" s="140"/>
      <c r="L213" s="140"/>
      <c r="M213" s="140"/>
      <c r="N213" s="140"/>
      <c r="O213" s="140"/>
      <c r="P213" s="140"/>
    </row>
    <row r="214" spans="1:16" ht="7.5" customHeight="1" outlineLevel="1" x14ac:dyDescent="0.25">
      <c r="A214" s="104"/>
      <c r="B214" s="104"/>
      <c r="C214" s="105"/>
      <c r="D214" s="105"/>
      <c r="E214" s="105"/>
      <c r="F214" s="105"/>
      <c r="G214" s="105"/>
      <c r="H214" s="105"/>
      <c r="I214" s="105"/>
      <c r="J214" s="105"/>
      <c r="K214" s="105"/>
      <c r="L214" s="105"/>
      <c r="M214" s="105"/>
      <c r="N214" s="105"/>
      <c r="O214" s="105"/>
      <c r="P214" s="105"/>
    </row>
    <row r="215" spans="1:16" outlineLevel="1" x14ac:dyDescent="0.25">
      <c r="A215" s="62" t="s">
        <v>119</v>
      </c>
      <c r="B215" s="62"/>
      <c r="C215" s="62"/>
      <c r="D215" s="62"/>
      <c r="E215" s="62"/>
      <c r="F215" s="62"/>
      <c r="G215" s="62"/>
      <c r="H215" s="62"/>
      <c r="I215" s="62"/>
      <c r="J215" s="62"/>
      <c r="K215" s="62"/>
      <c r="L215" s="62"/>
      <c r="M215" s="62"/>
      <c r="N215" s="62"/>
      <c r="O215" s="62"/>
      <c r="P215" s="62"/>
    </row>
    <row r="216" spans="1:16" outlineLevel="1" x14ac:dyDescent="0.25">
      <c r="B216" s="219" t="s">
        <v>80</v>
      </c>
      <c r="C216" s="219"/>
      <c r="D216" s="219"/>
    </row>
    <row r="217" spans="1:16" outlineLevel="1" x14ac:dyDescent="0.25">
      <c r="C217" s="65" t="s">
        <v>111</v>
      </c>
      <c r="D217" t="s">
        <v>112</v>
      </c>
    </row>
    <row r="218" spans="1:16" outlineLevel="1" x14ac:dyDescent="0.25">
      <c r="B218" s="106" t="s">
        <v>7</v>
      </c>
      <c r="C218" s="107" t="e">
        <f>#REF!</f>
        <v>#REF!</v>
      </c>
      <c r="D218" s="107" t="e">
        <f>#REF!</f>
        <v>#REF!</v>
      </c>
    </row>
    <row r="219" spans="1:16" outlineLevel="1" x14ac:dyDescent="0.25">
      <c r="B219" s="106" t="s">
        <v>8</v>
      </c>
      <c r="C219" t="e">
        <f>#REF!</f>
        <v>#REF!</v>
      </c>
      <c r="D219" s="107" t="e">
        <f>#REF!</f>
        <v>#REF!</v>
      </c>
    </row>
    <row r="220" spans="1:16" outlineLevel="1" x14ac:dyDescent="0.25">
      <c r="B220" s="106"/>
      <c r="D220" s="107"/>
    </row>
    <row r="221" spans="1:16" outlineLevel="1" x14ac:dyDescent="0.25">
      <c r="A221" s="62" t="s">
        <v>125</v>
      </c>
      <c r="B221" s="62"/>
      <c r="C221" s="62"/>
      <c r="D221" s="62"/>
      <c r="E221" s="62"/>
      <c r="F221" s="62"/>
      <c r="G221" s="62"/>
      <c r="H221" s="62"/>
      <c r="I221" s="62"/>
      <c r="J221" s="62"/>
      <c r="K221" s="62"/>
      <c r="L221" s="62"/>
      <c r="M221" s="62"/>
      <c r="N221" s="62"/>
      <c r="O221" s="62"/>
      <c r="P221" s="62"/>
    </row>
    <row r="222" spans="1:16" outlineLevel="1" x14ac:dyDescent="0.25">
      <c r="B222" s="65" t="s">
        <v>4</v>
      </c>
      <c r="C222" s="65" t="s">
        <v>140</v>
      </c>
      <c r="D222" s="65" t="s">
        <v>141</v>
      </c>
    </row>
    <row r="223" spans="1:16" outlineLevel="1" x14ac:dyDescent="0.25">
      <c r="B223" t="e">
        <f>#REF!</f>
        <v>#REF!</v>
      </c>
      <c r="C223" s="64" t="e">
        <f>C$218+C$219*$B223</f>
        <v>#REF!</v>
      </c>
      <c r="D223" s="64" t="e">
        <f>D$218+D$219*$B223</f>
        <v>#REF!</v>
      </c>
    </row>
    <row r="224" spans="1:16" outlineLevel="1" x14ac:dyDescent="0.25">
      <c r="B224" t="e">
        <f>#REF!</f>
        <v>#REF!</v>
      </c>
      <c r="C224" s="64" t="e">
        <f>C$218+C$219*$B224</f>
        <v>#REF!</v>
      </c>
      <c r="D224" s="64" t="e">
        <f>D$218+D$219*$B224</f>
        <v>#REF!</v>
      </c>
    </row>
    <row r="225" spans="1:23" outlineLevel="1" x14ac:dyDescent="0.25"/>
    <row r="226" spans="1:23" outlineLevel="1" x14ac:dyDescent="0.25"/>
    <row r="227" spans="1:23" outlineLevel="1" x14ac:dyDescent="0.25"/>
    <row r="229" spans="1:23" ht="18.75" x14ac:dyDescent="0.25">
      <c r="A229" s="220" t="s">
        <v>143</v>
      </c>
      <c r="B229" s="220"/>
      <c r="C229" s="220"/>
      <c r="D229" s="220"/>
      <c r="E229" s="60"/>
      <c r="F229" s="60"/>
      <c r="G229" s="60"/>
      <c r="H229" s="60"/>
      <c r="I229" s="60"/>
      <c r="J229" s="60"/>
      <c r="K229" s="60"/>
      <c r="L229" s="60"/>
      <c r="M229" s="60"/>
      <c r="N229" s="60"/>
      <c r="O229" s="60"/>
      <c r="P229" s="60"/>
    </row>
    <row r="230" spans="1:23" x14ac:dyDescent="0.25">
      <c r="A230" s="136" t="s">
        <v>139</v>
      </c>
      <c r="B230" s="136"/>
      <c r="C230" s="140"/>
      <c r="D230" s="140"/>
      <c r="E230" s="140"/>
      <c r="F230" s="140"/>
      <c r="G230" s="140"/>
      <c r="H230" s="140"/>
      <c r="I230" s="140"/>
      <c r="J230" s="140"/>
      <c r="K230" s="140"/>
      <c r="L230" s="140"/>
      <c r="M230" s="140"/>
      <c r="N230" s="140"/>
      <c r="O230" s="140"/>
      <c r="P230" s="140"/>
    </row>
    <row r="231" spans="1:23" ht="7.5" customHeight="1" outlineLevel="1" x14ac:dyDescent="0.25"/>
    <row r="232" spans="1:23" outlineLevel="1" x14ac:dyDescent="0.25">
      <c r="A232" s="62" t="s">
        <v>119</v>
      </c>
      <c r="B232" s="62"/>
      <c r="C232" s="62"/>
      <c r="D232" s="62"/>
      <c r="E232" s="62"/>
      <c r="F232" s="62"/>
      <c r="G232" s="62"/>
      <c r="H232" s="62"/>
      <c r="I232" s="62"/>
      <c r="J232" s="62"/>
      <c r="K232" s="62"/>
      <c r="L232" s="62"/>
      <c r="M232" s="62"/>
      <c r="N232" s="62"/>
      <c r="O232" s="62"/>
      <c r="P232" s="62"/>
    </row>
    <row r="233" spans="1:23" outlineLevel="1" x14ac:dyDescent="0.25">
      <c r="B233" s="219" t="s">
        <v>144</v>
      </c>
      <c r="C233" s="219"/>
      <c r="D233" s="219"/>
      <c r="E233" s="219"/>
      <c r="F233" s="219"/>
      <c r="G233" s="219"/>
    </row>
    <row r="234" spans="1:23" outlineLevel="1" x14ac:dyDescent="0.25">
      <c r="B234" s="73" t="s">
        <v>7</v>
      </c>
      <c r="C234" s="73" t="s">
        <v>8</v>
      </c>
      <c r="D234" s="73" t="s">
        <v>9</v>
      </c>
      <c r="E234" s="73" t="s">
        <v>10</v>
      </c>
      <c r="F234" s="73" t="s">
        <v>11</v>
      </c>
      <c r="G234" s="73" t="s">
        <v>12</v>
      </c>
    </row>
    <row r="235" spans="1:23" outlineLevel="1" x14ac:dyDescent="0.25">
      <c r="B235" s="73">
        <f>'Transform Material Calibration'!A14</f>
        <v>-21.572500000000002</v>
      </c>
      <c r="C235" s="73">
        <f>'Transform Material Calibration'!A15</f>
        <v>0.34195399999999998</v>
      </c>
      <c r="D235" s="73">
        <f>'Transform Material Calibration'!A16</f>
        <v>-1.82446E-3</v>
      </c>
      <c r="E235" s="73">
        <f>'Transform Material Calibration'!A17</f>
        <v>5.2874100000000003E-6</v>
      </c>
      <c r="F235" s="73">
        <f>'Transform Material Calibration'!A18</f>
        <v>-7.0180599999999996E-9</v>
      </c>
      <c r="G235" s="73">
        <f>'Transform Material Calibration'!A19</f>
        <v>3.6105500000000002E-12</v>
      </c>
    </row>
    <row r="236" spans="1:23" outlineLevel="1" x14ac:dyDescent="0.25"/>
    <row r="237" spans="1:23" outlineLevel="1" x14ac:dyDescent="0.25">
      <c r="B237" s="108" t="s">
        <v>50</v>
      </c>
      <c r="C237" s="64">
        <f>'Transform Material Calibration'!C24</f>
        <v>1.4</v>
      </c>
    </row>
    <row r="238" spans="1:23" outlineLevel="1" x14ac:dyDescent="0.25">
      <c r="B238" s="1" t="s">
        <v>145</v>
      </c>
      <c r="C238" s="216" t="str">
        <f>'Transform Material Calibration'!$A$8</f>
        <v>Volumetric (Total)</v>
      </c>
      <c r="D238" s="216"/>
      <c r="E238" s="73">
        <f>MATCH(C238,{"Volumetric (Total)","Volumetric (Dry)","Gravimetric (Total)","Gravimetric (Dry)"},0)</f>
        <v>1</v>
      </c>
    </row>
    <row r="239" spans="1:23" outlineLevel="1" x14ac:dyDescent="0.25">
      <c r="B239" s="1" t="s">
        <v>146</v>
      </c>
      <c r="C239" s="216" t="str">
        <f>'Transform Material Calibration'!$D$8</f>
        <v>Gravimetric (Total)</v>
      </c>
      <c r="D239" s="216"/>
      <c r="E239" s="73">
        <f>MATCH(C239,{"Volumetric (Total)","Volumetric (Dry)","Gravimetric (Total)","Gravimetric (Dry)"},0)</f>
        <v>3</v>
      </c>
    </row>
    <row r="240" spans="1:23" outlineLevel="1" x14ac:dyDescent="0.25">
      <c r="B240" s="65" t="s">
        <v>147</v>
      </c>
      <c r="C240" s="73" t="str">
        <f>E238&amp;E239</f>
        <v>13</v>
      </c>
      <c r="D240" s="65" t="s">
        <v>152</v>
      </c>
      <c r="E240" s="65">
        <f>(E238-1)*4+E239</f>
        <v>3</v>
      </c>
      <c r="G240" s="65"/>
      <c r="H240" s="73"/>
      <c r="I240" s="73"/>
      <c r="J240" s="73"/>
      <c r="K240" s="73"/>
      <c r="L240" s="73"/>
      <c r="M240" s="73"/>
      <c r="N240" s="73"/>
      <c r="O240" s="73"/>
      <c r="P240" s="73"/>
      <c r="Q240" s="73"/>
      <c r="R240" s="73"/>
      <c r="S240" s="73"/>
      <c r="T240" s="73"/>
      <c r="U240" s="73"/>
      <c r="V240" s="73"/>
      <c r="W240" s="73"/>
    </row>
    <row r="241" spans="1:25" outlineLevel="1" x14ac:dyDescent="0.25">
      <c r="B241" s="1" t="s">
        <v>148</v>
      </c>
      <c r="C241" s="217" t="str">
        <f>'Transform Material Calibration'!C25</f>
        <v>Polynomial [5]</v>
      </c>
      <c r="D241" s="217"/>
      <c r="E241" s="65">
        <f>MATCH(C241,{"Linear","Polynomial [2]","Polynomial [3]","Polynomial [4]","Polynomial [5]"},0)</f>
        <v>5</v>
      </c>
      <c r="G241" s="65"/>
      <c r="H241" s="73"/>
      <c r="I241" s="73"/>
      <c r="J241" s="73"/>
      <c r="K241" s="73"/>
      <c r="L241" s="73"/>
      <c r="M241" s="73"/>
      <c r="N241" s="73"/>
      <c r="O241" s="73"/>
      <c r="P241" s="73"/>
      <c r="Q241" s="73"/>
      <c r="R241" s="73"/>
      <c r="S241" s="73"/>
      <c r="T241" s="73"/>
      <c r="U241" s="73"/>
      <c r="V241" s="73"/>
      <c r="W241" s="73"/>
    </row>
    <row r="242" spans="1:25" outlineLevel="1" x14ac:dyDescent="0.25">
      <c r="A242" s="1"/>
      <c r="B242" s="65"/>
      <c r="C242" s="73"/>
      <c r="D242" s="65"/>
      <c r="G242" s="65"/>
      <c r="H242" s="73"/>
      <c r="I242" s="73"/>
      <c r="J242" s="73"/>
      <c r="K242" s="73"/>
      <c r="L242" s="73"/>
      <c r="M242" s="73"/>
      <c r="N242" s="73"/>
      <c r="O242" s="73"/>
      <c r="P242" s="73"/>
      <c r="Q242" s="73"/>
      <c r="R242" s="73"/>
      <c r="S242" s="73"/>
      <c r="T242" s="73"/>
      <c r="U242" s="73"/>
      <c r="V242" s="73"/>
      <c r="W242" s="73"/>
    </row>
    <row r="243" spans="1:25" outlineLevel="1" x14ac:dyDescent="0.25">
      <c r="A243" s="62" t="s">
        <v>160</v>
      </c>
      <c r="B243" s="62"/>
      <c r="C243" s="62"/>
      <c r="D243" s="62"/>
      <c r="E243" s="62"/>
      <c r="F243" s="62"/>
      <c r="G243" s="62"/>
      <c r="H243" s="62"/>
      <c r="I243" s="62"/>
      <c r="J243" s="62"/>
      <c r="K243" s="62"/>
      <c r="L243" s="62"/>
      <c r="M243" s="62"/>
      <c r="N243" s="62"/>
      <c r="O243" s="62"/>
      <c r="P243" s="62"/>
      <c r="Q243" s="73"/>
      <c r="R243" s="73"/>
      <c r="S243" s="73"/>
      <c r="T243" s="73"/>
      <c r="U243" s="73"/>
      <c r="V243" s="73"/>
      <c r="W243" s="73"/>
    </row>
    <row r="244" spans="1:25" outlineLevel="1" x14ac:dyDescent="0.25">
      <c r="B244" s="218" t="s">
        <v>150</v>
      </c>
      <c r="C244" s="218"/>
      <c r="E244" s="218" t="s">
        <v>151</v>
      </c>
      <c r="F244" s="218"/>
      <c r="H244" t="s">
        <v>153</v>
      </c>
    </row>
    <row r="245" spans="1:25" outlineLevel="1" x14ac:dyDescent="0.25">
      <c r="B245" s="109" t="s">
        <v>4</v>
      </c>
      <c r="C245" s="110" t="s">
        <v>120</v>
      </c>
      <c r="E245" s="109" t="s">
        <v>4</v>
      </c>
      <c r="F245" s="110" t="s">
        <v>120</v>
      </c>
      <c r="H245" s="111" t="s">
        <v>4</v>
      </c>
      <c r="I245" s="112" t="s">
        <v>149</v>
      </c>
      <c r="J245" s="113" t="s">
        <v>81</v>
      </c>
      <c r="K245" s="113" t="s">
        <v>82</v>
      </c>
      <c r="L245" s="113" t="s">
        <v>83</v>
      </c>
      <c r="M245" s="113" t="s">
        <v>84</v>
      </c>
      <c r="N245" s="113" t="s">
        <v>85</v>
      </c>
      <c r="O245" s="113" t="s">
        <v>86</v>
      </c>
      <c r="P245" s="113" t="s">
        <v>87</v>
      </c>
      <c r="Q245" s="113" t="s">
        <v>88</v>
      </c>
      <c r="R245" s="113" t="s">
        <v>89</v>
      </c>
      <c r="S245" s="113" t="s">
        <v>90</v>
      </c>
      <c r="T245" s="113" t="s">
        <v>64</v>
      </c>
      <c r="U245" s="113" t="s">
        <v>65</v>
      </c>
      <c r="V245" s="113" t="s">
        <v>66</v>
      </c>
      <c r="W245" s="113" t="s">
        <v>67</v>
      </c>
      <c r="X245" s="113" t="s">
        <v>91</v>
      </c>
      <c r="Y245" s="114" t="s">
        <v>92</v>
      </c>
    </row>
    <row r="246" spans="1:25" outlineLevel="1" x14ac:dyDescent="0.25">
      <c r="B246" s="115">
        <v>0</v>
      </c>
      <c r="C246" s="116">
        <f t="shared" ref="C246:C277" si="18">$B$235+$C$235*B246+$D$235*B246^2+$E$235*B246^3+$F$235*B246^4+$G$235*B246^5</f>
        <v>-21.572500000000002</v>
      </c>
      <c r="E246" s="115" cm="1">
        <f t="array" ref="E246:F315">_xlfn._xlws.SORT(_xlfn._xlws.FILTER(B246:C346,(C246:C346&gt;='Transform Material Calibration'!$C$28)*(C246:C346&lt;='Transform Material Calibration'!$C$29)),1,1)</f>
        <v>110</v>
      </c>
      <c r="F246" s="100">
        <v>3.4650814204994926E-2</v>
      </c>
      <c r="H246" s="81">
        <f t="shared" ref="H246:H277" si="19">IF(E246&lt;&gt;"",E246,"")</f>
        <v>110</v>
      </c>
      <c r="I246" s="117">
        <f t="shared" ref="I246:I277" si="20">IF(F246&lt;&gt;"",F246/100,"")</f>
        <v>3.4650814204994926E-4</v>
      </c>
      <c r="J246">
        <f>IF(I246&lt;&gt;"",I246*1,"")</f>
        <v>3.4650814204994926E-4</v>
      </c>
      <c r="K246">
        <f>IF(I246&lt;&gt;"",I246/(1-I246),"")</f>
        <v>3.4662825156137983E-4</v>
      </c>
      <c r="L246">
        <f t="shared" ref="L246:L277" si="21">IF(I246&lt;&gt;"",I246*(1/($C$237*(1-I246)+I246)),"")</f>
        <v>2.4753032182765452E-4</v>
      </c>
      <c r="M246">
        <f t="shared" ref="M246:M277" si="22">IF(I246&lt;&gt;"",I246*(1/($C$237*(1-I246))),"")</f>
        <v>2.4759160825812846E-4</v>
      </c>
      <c r="N246">
        <f>IF(I246&lt;&gt;"",I246*(1/(1+I246)),"")</f>
        <v>3.463881157475334E-4</v>
      </c>
      <c r="O246">
        <f>IF(I246&lt;&gt;"",I246*1,"")</f>
        <v>3.4650814204994926E-4</v>
      </c>
      <c r="P246">
        <f t="shared" ref="P246:P277" si="23">IF(I246&lt;&gt;"",I246*(1/($C$237+I246)),"")</f>
        <v>2.4744457177937259E-4</v>
      </c>
      <c r="Q246">
        <f t="shared" ref="Q246:Q277" si="24">IF(I246&lt;&gt;"",I246*(1/$C$237),"")</f>
        <v>2.4750581574996375E-4</v>
      </c>
      <c r="R246">
        <f t="shared" ref="R246:R277" si="25">IF(I246&lt;&gt;"",I246*($C$237/(1+($C$237-1)*I246)),"")</f>
        <v>4.8504417016824209E-4</v>
      </c>
      <c r="S246">
        <f t="shared" ref="S246:S277" si="26">IF(I246&lt;&gt;"",I246*($C$237/(1-I246)),"")</f>
        <v>4.8527955218593172E-4</v>
      </c>
      <c r="T246">
        <f>IF(I246&lt;&gt;"",I246*1,"")</f>
        <v>3.4650814204994926E-4</v>
      </c>
      <c r="U246">
        <f>IF(I246&lt;&gt;"",I246*(1/(1-I246)),"")</f>
        <v>3.4662825156137983E-4</v>
      </c>
      <c r="V246">
        <f t="shared" ref="V246:V277" si="27">IF(I246&lt;&gt;"",I246*($C$237/(1+$C$237*I246)),"")</f>
        <v>4.84876179908015E-4</v>
      </c>
      <c r="W246">
        <f t="shared" ref="W246:W277" si="28">IF(I246&lt;&gt;"",I246*$C$237,"")</f>
        <v>4.8511139886992893E-4</v>
      </c>
      <c r="X246">
        <f>IF(I246&lt;&gt;"",I246*(1/(1+I246)),"")</f>
        <v>3.463881157475334E-4</v>
      </c>
      <c r="Y246" s="118">
        <f>IF(I246&lt;&gt;"",I246*1,"")</f>
        <v>3.4650814204994926E-4</v>
      </c>
    </row>
    <row r="247" spans="1:25" outlineLevel="1" x14ac:dyDescent="0.25">
      <c r="B247" s="115">
        <v>10</v>
      </c>
      <c r="C247" s="116">
        <f t="shared" si="18"/>
        <v>-18.330188409544999</v>
      </c>
      <c r="E247" s="115">
        <v>120</v>
      </c>
      <c r="F247" s="100">
        <v>0.96097759615999312</v>
      </c>
      <c r="H247" s="81">
        <f t="shared" si="19"/>
        <v>120</v>
      </c>
      <c r="I247" s="117">
        <f t="shared" si="20"/>
        <v>9.6097759615999308E-3</v>
      </c>
      <c r="J247">
        <f t="shared" ref="J247:J310" si="29">IF(I247&lt;&gt;"",I247*1,"")</f>
        <v>9.6097759615999308E-3</v>
      </c>
      <c r="K247">
        <f>IF(I247&lt;&gt;"",I247/(1-I247),"")</f>
        <v>9.7030198081068039E-3</v>
      </c>
      <c r="L247">
        <f t="shared" si="21"/>
        <v>6.8830240637688432E-3</v>
      </c>
      <c r="M247">
        <f t="shared" si="22"/>
        <v>6.9307284343620027E-3</v>
      </c>
      <c r="N247">
        <f t="shared" ref="N247:N310" si="30">IF(I247&lt;&gt;"",I247*(1/(1+I247)),"")</f>
        <v>9.5183071622371405E-3</v>
      </c>
      <c r="O247">
        <f t="shared" ref="O247:O310" si="31">IF(I247&lt;&gt;"",I247*1,"")</f>
        <v>9.6097759615999308E-3</v>
      </c>
      <c r="P247">
        <f t="shared" si="23"/>
        <v>6.8173306722737418E-3</v>
      </c>
      <c r="Q247">
        <f t="shared" si="24"/>
        <v>6.8641256868570933E-3</v>
      </c>
      <c r="R247">
        <f t="shared" si="25"/>
        <v>1.3402169607309659E-2</v>
      </c>
      <c r="S247">
        <f t="shared" si="26"/>
        <v>1.3584227731349525E-2</v>
      </c>
      <c r="T247">
        <f t="shared" ref="T247:T310" si="32">IF(I247&lt;&gt;"",I247*1,"")</f>
        <v>9.6097759615999308E-3</v>
      </c>
      <c r="U247">
        <f t="shared" ref="U247:U310" si="33">IF(I247&lt;&gt;"",I247*(1/(1-I247)),"")</f>
        <v>9.7030198081068022E-3</v>
      </c>
      <c r="V247">
        <f t="shared" si="27"/>
        <v>1.3275087483024394E-2</v>
      </c>
      <c r="W247">
        <f t="shared" si="28"/>
        <v>1.3453686346239902E-2</v>
      </c>
      <c r="X247">
        <f t="shared" ref="X247:X310" si="34">IF(I247&lt;&gt;"",I247*(1/(1+I247)),"")</f>
        <v>9.5183071622371405E-3</v>
      </c>
      <c r="Y247" s="118">
        <f t="shared" ref="Y247:Y310" si="35">IF(I247&lt;&gt;"",I247*1,"")</f>
        <v>9.6097759615999308E-3</v>
      </c>
    </row>
    <row r="248" spans="1:25" outlineLevel="1" x14ac:dyDescent="0.25">
      <c r="B248" s="115">
        <v>20</v>
      </c>
      <c r="C248" s="116">
        <f t="shared" si="18"/>
        <v>-15.422016055840002</v>
      </c>
      <c r="E248" s="115">
        <v>130</v>
      </c>
      <c r="F248" s="100">
        <v>1.7942148475150006</v>
      </c>
      <c r="H248" s="81">
        <f t="shared" si="19"/>
        <v>130</v>
      </c>
      <c r="I248" s="117">
        <f t="shared" si="20"/>
        <v>1.7942148475150008E-2</v>
      </c>
      <c r="J248">
        <f t="shared" si="29"/>
        <v>1.7942148475150008E-2</v>
      </c>
      <c r="K248">
        <f t="shared" ref="K248:K310" si="36">IF(I248&lt;&gt;"",I248/(1-I248),"")</f>
        <v>1.8269950642206132E-2</v>
      </c>
      <c r="L248">
        <f t="shared" si="21"/>
        <v>1.2881856965194338E-2</v>
      </c>
      <c r="M248">
        <f t="shared" si="22"/>
        <v>1.3049964744432952E-2</v>
      </c>
      <c r="N248">
        <f t="shared" si="30"/>
        <v>1.7625901925789066E-2</v>
      </c>
      <c r="O248">
        <f t="shared" si="31"/>
        <v>1.7942148475150008E-2</v>
      </c>
      <c r="P248">
        <f t="shared" si="23"/>
        <v>1.2653653390898164E-2</v>
      </c>
      <c r="Q248">
        <f t="shared" si="24"/>
        <v>1.2815820339392863E-2</v>
      </c>
      <c r="R248">
        <f t="shared" si="25"/>
        <v>2.4940016870941537E-2</v>
      </c>
      <c r="S248">
        <f t="shared" si="26"/>
        <v>2.557793089908858E-2</v>
      </c>
      <c r="T248">
        <f t="shared" si="32"/>
        <v>1.7942148475150008E-2</v>
      </c>
      <c r="U248">
        <f t="shared" si="33"/>
        <v>1.8269950642206132E-2</v>
      </c>
      <c r="V248">
        <f t="shared" si="27"/>
        <v>2.4503504151698295E-2</v>
      </c>
      <c r="W248">
        <f t="shared" si="28"/>
        <v>2.511900786521001E-2</v>
      </c>
      <c r="X248">
        <f t="shared" si="34"/>
        <v>1.7625901925789066E-2</v>
      </c>
      <c r="Y248" s="118">
        <f t="shared" si="35"/>
        <v>1.7942148475150008E-2</v>
      </c>
    </row>
    <row r="249" spans="1:25" outlineLevel="1" x14ac:dyDescent="0.25">
      <c r="B249" s="115">
        <v>30</v>
      </c>
      <c r="C249" s="116">
        <f t="shared" si="18"/>
        <v>-12.818730822235002</v>
      </c>
      <c r="E249" s="115">
        <v>140</v>
      </c>
      <c r="F249" s="100">
        <v>2.5484231547199951</v>
      </c>
      <c r="H249" s="81">
        <f t="shared" si="19"/>
        <v>140</v>
      </c>
      <c r="I249" s="117">
        <f t="shared" si="20"/>
        <v>2.5484231547199952E-2</v>
      </c>
      <c r="J249">
        <f t="shared" si="29"/>
        <v>2.5484231547199952E-2</v>
      </c>
      <c r="K249">
        <f t="shared" si="36"/>
        <v>2.6150661048471541E-2</v>
      </c>
      <c r="L249">
        <f t="shared" si="21"/>
        <v>1.8336534675267906E-2</v>
      </c>
      <c r="M249">
        <f t="shared" si="22"/>
        <v>1.8679043606051101E-2</v>
      </c>
      <c r="N249">
        <f t="shared" si="30"/>
        <v>2.4850924824802625E-2</v>
      </c>
      <c r="O249">
        <f t="shared" si="31"/>
        <v>2.5484231547199952E-2</v>
      </c>
      <c r="P249">
        <f t="shared" si="23"/>
        <v>1.7877596246392524E-2</v>
      </c>
      <c r="Q249">
        <f t="shared" si="24"/>
        <v>1.8203022533714253E-2</v>
      </c>
      <c r="R249">
        <f t="shared" si="25"/>
        <v>3.5317904305645166E-2</v>
      </c>
      <c r="S249">
        <f t="shared" si="26"/>
        <v>3.6610925467860156E-2</v>
      </c>
      <c r="T249">
        <f t="shared" si="32"/>
        <v>2.5484231547199952E-2</v>
      </c>
      <c r="U249">
        <f t="shared" si="33"/>
        <v>2.6150661048471541E-2</v>
      </c>
      <c r="V249">
        <f t="shared" si="27"/>
        <v>3.4448860339286971E-2</v>
      </c>
      <c r="W249">
        <f t="shared" si="28"/>
        <v>3.5677924166079927E-2</v>
      </c>
      <c r="X249">
        <f t="shared" si="34"/>
        <v>2.4850924824802625E-2</v>
      </c>
      <c r="Y249" s="118">
        <f t="shared" si="35"/>
        <v>2.5484231547199952E-2</v>
      </c>
    </row>
    <row r="250" spans="1:25" outlineLevel="1" x14ac:dyDescent="0.25">
      <c r="B250" s="115">
        <v>40</v>
      </c>
      <c r="C250" s="116">
        <f t="shared" si="18"/>
        <v>-10.492678273280003</v>
      </c>
      <c r="E250" s="115">
        <v>150</v>
      </c>
      <c r="F250" s="100">
        <v>3.2365420156249938</v>
      </c>
      <c r="H250" s="81">
        <f t="shared" si="19"/>
        <v>150</v>
      </c>
      <c r="I250" s="117">
        <f t="shared" si="20"/>
        <v>3.2365420156249936E-2</v>
      </c>
      <c r="J250">
        <f t="shared" si="29"/>
        <v>3.2365420156249936E-2</v>
      </c>
      <c r="K250">
        <f t="shared" si="36"/>
        <v>3.3447978018185526E-2</v>
      </c>
      <c r="L250">
        <f t="shared" si="21"/>
        <v>2.333393226061057E-2</v>
      </c>
      <c r="M250">
        <f t="shared" si="22"/>
        <v>2.3891412870132519E-2</v>
      </c>
      <c r="N250">
        <f t="shared" si="30"/>
        <v>3.1350740275038834E-2</v>
      </c>
      <c r="O250">
        <f t="shared" si="31"/>
        <v>3.2365420156249936E-2</v>
      </c>
      <c r="P250">
        <f t="shared" si="23"/>
        <v>2.2595784358379268E-2</v>
      </c>
      <c r="Q250">
        <f t="shared" si="24"/>
        <v>2.3118157254464242E-2</v>
      </c>
      <c r="R250">
        <f t="shared" si="25"/>
        <v>4.4732474091312348E-2</v>
      </c>
      <c r="S250">
        <f t="shared" si="26"/>
        <v>4.6827169225459729E-2</v>
      </c>
      <c r="T250">
        <f t="shared" si="32"/>
        <v>3.2365420156249936E-2</v>
      </c>
      <c r="U250">
        <f t="shared" si="33"/>
        <v>3.3447978018185526E-2</v>
      </c>
      <c r="V250">
        <f t="shared" si="27"/>
        <v>4.3347446569460261E-2</v>
      </c>
      <c r="W250">
        <f t="shared" si="28"/>
        <v>4.5311588218749907E-2</v>
      </c>
      <c r="X250">
        <f t="shared" si="34"/>
        <v>3.1350740275038834E-2</v>
      </c>
      <c r="Y250" s="118">
        <f t="shared" si="35"/>
        <v>3.2365420156249936E-2</v>
      </c>
    </row>
    <row r="251" spans="1:25" outlineLevel="1" x14ac:dyDescent="0.25">
      <c r="B251" s="115">
        <v>50</v>
      </c>
      <c r="C251" s="116">
        <f t="shared" si="18"/>
        <v>-8.4177583281250019</v>
      </c>
      <c r="E251" s="115">
        <v>160</v>
      </c>
      <c r="F251" s="100">
        <v>3.87043316607999</v>
      </c>
      <c r="H251" s="81">
        <f t="shared" si="19"/>
        <v>160</v>
      </c>
      <c r="I251" s="117">
        <f t="shared" si="20"/>
        <v>3.8704331660799902E-2</v>
      </c>
      <c r="J251">
        <f t="shared" si="29"/>
        <v>3.8704331660799902E-2</v>
      </c>
      <c r="K251">
        <f t="shared" si="36"/>
        <v>4.0262671450156579E-2</v>
      </c>
      <c r="L251">
        <f t="shared" si="21"/>
        <v>2.795508919884546E-2</v>
      </c>
      <c r="M251">
        <f t="shared" si="22"/>
        <v>2.8759051035826131E-2</v>
      </c>
      <c r="N251">
        <f t="shared" si="30"/>
        <v>3.7262125978539978E-2</v>
      </c>
      <c r="O251">
        <f t="shared" si="31"/>
        <v>3.8704331660799902E-2</v>
      </c>
      <c r="P251">
        <f t="shared" si="23"/>
        <v>2.6902213894164556E-2</v>
      </c>
      <c r="Q251">
        <f t="shared" si="24"/>
        <v>2.7645951186285645E-2</v>
      </c>
      <c r="R251">
        <f t="shared" si="25"/>
        <v>5.3359959694156051E-2</v>
      </c>
      <c r="S251">
        <f t="shared" si="26"/>
        <v>5.6367740030219209E-2</v>
      </c>
      <c r="T251">
        <f t="shared" si="32"/>
        <v>3.8704331660799902E-2</v>
      </c>
      <c r="U251">
        <f t="shared" si="33"/>
        <v>4.0262671450156585E-2</v>
      </c>
      <c r="V251">
        <f t="shared" si="27"/>
        <v>5.1400854326232502E-2</v>
      </c>
      <c r="W251">
        <f t="shared" si="28"/>
        <v>5.4186064325119861E-2</v>
      </c>
      <c r="X251">
        <f t="shared" si="34"/>
        <v>3.7262125978539978E-2</v>
      </c>
      <c r="Y251" s="118">
        <f t="shared" si="35"/>
        <v>3.8704331660799902E-2</v>
      </c>
    </row>
    <row r="252" spans="1:25" outlineLevel="1" x14ac:dyDescent="0.25">
      <c r="B252" s="115">
        <v>60</v>
      </c>
      <c r="C252" s="116">
        <f t="shared" si="18"/>
        <v>-6.5693819339200044</v>
      </c>
      <c r="E252" s="115">
        <v>170</v>
      </c>
      <c r="F252" s="100">
        <v>4.4609239065350019</v>
      </c>
      <c r="H252" s="81">
        <f t="shared" si="19"/>
        <v>170</v>
      </c>
      <c r="I252" s="117">
        <f t="shared" si="20"/>
        <v>4.4609239065350019E-2</v>
      </c>
      <c r="J252">
        <f t="shared" si="29"/>
        <v>4.4609239065350019E-2</v>
      </c>
      <c r="K252">
        <f t="shared" si="36"/>
        <v>4.6692139896464153E-2</v>
      </c>
      <c r="L252">
        <f t="shared" si="21"/>
        <v>3.2275104432243469E-2</v>
      </c>
      <c r="M252">
        <f t="shared" si="22"/>
        <v>3.3351528497474393E-2</v>
      </c>
      <c r="N252">
        <f t="shared" si="30"/>
        <v>4.2704235609923889E-2</v>
      </c>
      <c r="O252">
        <f t="shared" si="31"/>
        <v>4.4609239065350019E-2</v>
      </c>
      <c r="P252">
        <f t="shared" si="23"/>
        <v>3.0879796320707337E-2</v>
      </c>
      <c r="Q252">
        <f t="shared" si="24"/>
        <v>3.1863742189535728E-2</v>
      </c>
      <c r="R252">
        <f t="shared" si="25"/>
        <v>6.1358079791486324E-2</v>
      </c>
      <c r="S252">
        <f t="shared" si="26"/>
        <v>6.5368995855049822E-2</v>
      </c>
      <c r="T252">
        <f t="shared" si="32"/>
        <v>4.4609239065350019E-2</v>
      </c>
      <c r="U252">
        <f t="shared" si="33"/>
        <v>4.6692139896464153E-2</v>
      </c>
      <c r="V252">
        <f t="shared" si="27"/>
        <v>5.8781836495773628E-2</v>
      </c>
      <c r="W252">
        <f t="shared" si="28"/>
        <v>6.245293469149002E-2</v>
      </c>
      <c r="X252">
        <f t="shared" si="34"/>
        <v>4.2704235609923889E-2</v>
      </c>
      <c r="Y252" s="118">
        <f t="shared" si="35"/>
        <v>4.4609239065350019E-2</v>
      </c>
    </row>
    <row r="253" spans="1:25" outlineLevel="1" x14ac:dyDescent="0.25">
      <c r="B253" s="115">
        <v>70</v>
      </c>
      <c r="C253" s="116">
        <f t="shared" si="18"/>
        <v>-4.9244277392150035</v>
      </c>
      <c r="E253" s="115">
        <v>180</v>
      </c>
      <c r="F253" s="100">
        <v>5.0178504286399974</v>
      </c>
      <c r="H253" s="81">
        <f t="shared" si="19"/>
        <v>180</v>
      </c>
      <c r="I253" s="117">
        <f t="shared" si="20"/>
        <v>5.0178504286399972E-2</v>
      </c>
      <c r="J253">
        <f t="shared" si="29"/>
        <v>5.0178504286399972E-2</v>
      </c>
      <c r="K253">
        <f t="shared" si="36"/>
        <v>5.282940480168951E-2</v>
      </c>
      <c r="L253">
        <f t="shared" si="21"/>
        <v>3.6363116431347771E-2</v>
      </c>
      <c r="M253">
        <f t="shared" si="22"/>
        <v>3.773528914406394E-2</v>
      </c>
      <c r="N253">
        <f t="shared" si="30"/>
        <v>4.7780928748390676E-2</v>
      </c>
      <c r="O253">
        <f t="shared" si="31"/>
        <v>5.0178504286399972E-2</v>
      </c>
      <c r="P253">
        <f t="shared" si="23"/>
        <v>3.4601605345882358E-2</v>
      </c>
      <c r="Q253">
        <f t="shared" si="24"/>
        <v>3.5841788775999979E-2</v>
      </c>
      <c r="R253">
        <f t="shared" si="25"/>
        <v>6.8867636013402858E-2</v>
      </c>
      <c r="S253">
        <f t="shared" si="26"/>
        <v>7.3961166722365315E-2</v>
      </c>
      <c r="T253">
        <f t="shared" si="32"/>
        <v>5.0178504286399972E-2</v>
      </c>
      <c r="U253">
        <f t="shared" si="33"/>
        <v>5.282940480168951E-2</v>
      </c>
      <c r="V253">
        <f t="shared" si="27"/>
        <v>6.5638787358974951E-2</v>
      </c>
      <c r="W253">
        <f t="shared" si="28"/>
        <v>7.0249906000959955E-2</v>
      </c>
      <c r="X253">
        <f t="shared" si="34"/>
        <v>4.7780928748390676E-2</v>
      </c>
      <c r="Y253" s="118">
        <f t="shared" si="35"/>
        <v>5.0178504286399972E-2</v>
      </c>
    </row>
    <row r="254" spans="1:25" outlineLevel="1" x14ac:dyDescent="0.25">
      <c r="B254" s="115">
        <v>80</v>
      </c>
      <c r="C254" s="116">
        <f t="shared" si="18"/>
        <v>-3.4611987673600044</v>
      </c>
      <c r="E254" s="115">
        <v>190</v>
      </c>
      <c r="F254" s="100">
        <v>5.5501011418450004</v>
      </c>
      <c r="H254" s="81">
        <f t="shared" si="19"/>
        <v>190</v>
      </c>
      <c r="I254" s="117">
        <f t="shared" si="20"/>
        <v>5.5501011418450007E-2</v>
      </c>
      <c r="J254">
        <f t="shared" si="29"/>
        <v>5.5501011418450007E-2</v>
      </c>
      <c r="K254">
        <f t="shared" si="36"/>
        <v>5.8762383114672793E-2</v>
      </c>
      <c r="L254">
        <f t="shared" si="21"/>
        <v>4.0282354271575366E-2</v>
      </c>
      <c r="M254">
        <f t="shared" si="22"/>
        <v>4.1973130796194857E-2</v>
      </c>
      <c r="N254">
        <f t="shared" si="30"/>
        <v>5.2582622676850099E-2</v>
      </c>
      <c r="O254">
        <f t="shared" si="31"/>
        <v>5.5501011418450007E-2</v>
      </c>
      <c r="P254">
        <f t="shared" si="23"/>
        <v>3.8131894779215456E-2</v>
      </c>
      <c r="Q254">
        <f t="shared" si="24"/>
        <v>3.9643579584607146E-2</v>
      </c>
      <c r="R254">
        <f t="shared" si="25"/>
        <v>7.601387716013977E-2</v>
      </c>
      <c r="S254">
        <f t="shared" si="26"/>
        <v>8.2267336360541912E-2</v>
      </c>
      <c r="T254">
        <f t="shared" si="32"/>
        <v>5.5501011418450007E-2</v>
      </c>
      <c r="U254">
        <f t="shared" si="33"/>
        <v>5.87623831146728E-2</v>
      </c>
      <c r="V254">
        <f t="shared" si="27"/>
        <v>7.2099205617868131E-2</v>
      </c>
      <c r="W254">
        <f t="shared" si="28"/>
        <v>7.7701415985830011E-2</v>
      </c>
      <c r="X254">
        <f t="shared" si="34"/>
        <v>5.2582622676850099E-2</v>
      </c>
      <c r="Y254" s="118">
        <f t="shared" si="35"/>
        <v>5.5501011418450007E-2</v>
      </c>
    </row>
    <row r="255" spans="1:25" outlineLevel="1" x14ac:dyDescent="0.25">
      <c r="B255" s="115">
        <v>90</v>
      </c>
      <c r="C255" s="116">
        <f t="shared" si="18"/>
        <v>-2.1593790899050038</v>
      </c>
      <c r="E255" s="115">
        <v>200</v>
      </c>
      <c r="F255" s="100">
        <v>6.0656600000000047</v>
      </c>
      <c r="H255" s="81">
        <f t="shared" si="19"/>
        <v>200</v>
      </c>
      <c r="I255" s="117">
        <f t="shared" si="20"/>
        <v>6.0656600000000047E-2</v>
      </c>
      <c r="J255">
        <f t="shared" si="29"/>
        <v>6.0656600000000047E-2</v>
      </c>
      <c r="K255">
        <f t="shared" si="36"/>
        <v>6.4573403081343891E-2</v>
      </c>
      <c r="L255">
        <f t="shared" si="21"/>
        <v>4.4090246993074352E-2</v>
      </c>
      <c r="M255">
        <f t="shared" si="22"/>
        <v>4.6123859343817068E-2</v>
      </c>
      <c r="N255">
        <f t="shared" si="30"/>
        <v>5.7187783491848401E-2</v>
      </c>
      <c r="O255">
        <f t="shared" si="31"/>
        <v>6.0656600000000047E-2</v>
      </c>
      <c r="P255">
        <f t="shared" si="23"/>
        <v>4.1526940692288697E-2</v>
      </c>
      <c r="Q255">
        <f t="shared" si="24"/>
        <v>4.3326142857142889E-2</v>
      </c>
      <c r="R255">
        <f t="shared" si="25"/>
        <v>8.2907680787810481E-2</v>
      </c>
      <c r="S255">
        <f t="shared" si="26"/>
        <v>9.0402764313881445E-2</v>
      </c>
      <c r="T255">
        <f t="shared" si="32"/>
        <v>6.0656600000000047E-2</v>
      </c>
      <c r="U255">
        <f t="shared" si="33"/>
        <v>6.4573403081343891E-2</v>
      </c>
      <c r="V255">
        <f t="shared" si="27"/>
        <v>7.827240670927732E-2</v>
      </c>
      <c r="W255">
        <f t="shared" si="28"/>
        <v>8.4919240000000062E-2</v>
      </c>
      <c r="X255">
        <f t="shared" si="34"/>
        <v>5.7187783491848401E-2</v>
      </c>
      <c r="Y255" s="118">
        <f t="shared" si="35"/>
        <v>6.0656600000000047E-2</v>
      </c>
    </row>
    <row r="256" spans="1:25" outlineLevel="1" x14ac:dyDescent="0.25">
      <c r="B256" s="115">
        <v>100</v>
      </c>
      <c r="C256" s="116">
        <f t="shared" si="18"/>
        <v>-0.99999050000000012</v>
      </c>
      <c r="E256" s="115">
        <v>210</v>
      </c>
      <c r="F256" s="100">
        <v>6.5716498279549933</v>
      </c>
      <c r="H256" s="81">
        <f t="shared" si="19"/>
        <v>210</v>
      </c>
      <c r="I256" s="117">
        <f t="shared" si="20"/>
        <v>6.5716498279549937E-2</v>
      </c>
      <c r="J256">
        <f t="shared" si="29"/>
        <v>6.5716498279549937E-2</v>
      </c>
      <c r="K256">
        <f t="shared" si="36"/>
        <v>7.0338926202309388E-2</v>
      </c>
      <c r="L256">
        <f t="shared" si="21"/>
        <v>4.7838579900748142E-2</v>
      </c>
      <c r="M256">
        <f t="shared" si="22"/>
        <v>5.0242090144506715E-2</v>
      </c>
      <c r="N256">
        <f t="shared" si="30"/>
        <v>6.1664146502038789E-2</v>
      </c>
      <c r="O256">
        <f t="shared" si="31"/>
        <v>6.5716498279549937E-2</v>
      </c>
      <c r="P256">
        <f t="shared" si="23"/>
        <v>4.4835749857962029E-2</v>
      </c>
      <c r="Q256">
        <f t="shared" si="24"/>
        <v>4.6940355913964241E-2</v>
      </c>
      <c r="R256">
        <f t="shared" si="25"/>
        <v>8.9646593508151531E-2</v>
      </c>
      <c r="S256">
        <f t="shared" si="26"/>
        <v>9.8474496683233145E-2</v>
      </c>
      <c r="T256">
        <f t="shared" si="32"/>
        <v>6.5716498279549937E-2</v>
      </c>
      <c r="U256">
        <f t="shared" si="33"/>
        <v>7.0338926202309388E-2</v>
      </c>
      <c r="V256">
        <f t="shared" si="27"/>
        <v>8.4251681881032242E-2</v>
      </c>
      <c r="W256">
        <f t="shared" si="28"/>
        <v>9.2003097591369903E-2</v>
      </c>
      <c r="X256">
        <f t="shared" si="34"/>
        <v>6.1664146502038789E-2</v>
      </c>
      <c r="Y256" s="118">
        <f t="shared" si="35"/>
        <v>6.5716498279549937E-2</v>
      </c>
    </row>
    <row r="257" spans="2:25" outlineLevel="1" x14ac:dyDescent="0.25">
      <c r="B257" s="115">
        <v>110</v>
      </c>
      <c r="C257" s="116">
        <f t="shared" si="18"/>
        <v>3.4650814204994926E-2</v>
      </c>
      <c r="E257" s="115">
        <v>220</v>
      </c>
      <c r="F257" s="100">
        <v>7.0743756481599895</v>
      </c>
      <c r="H257" s="81">
        <f t="shared" si="19"/>
        <v>220</v>
      </c>
      <c r="I257" s="117">
        <f t="shared" si="20"/>
        <v>7.074375648159989E-2</v>
      </c>
      <c r="J257">
        <f t="shared" si="29"/>
        <v>7.074375648159989E-2</v>
      </c>
      <c r="K257">
        <f t="shared" si="36"/>
        <v>7.6129438973416064E-2</v>
      </c>
      <c r="L257">
        <f t="shared" si="21"/>
        <v>5.1573687891734471E-2</v>
      </c>
      <c r="M257">
        <f t="shared" si="22"/>
        <v>5.4378170695297184E-2</v>
      </c>
      <c r="N257">
        <f t="shared" si="30"/>
        <v>6.606973522223436E-2</v>
      </c>
      <c r="O257">
        <f t="shared" si="31"/>
        <v>7.074375648159989E-2</v>
      </c>
      <c r="P257">
        <f t="shared" si="23"/>
        <v>4.8100667549891417E-2</v>
      </c>
      <c r="Q257">
        <f t="shared" si="24"/>
        <v>5.0531254629714209E-2</v>
      </c>
      <c r="R257">
        <f t="shared" si="25"/>
        <v>9.6315763506696989E-2</v>
      </c>
      <c r="S257">
        <f t="shared" si="26"/>
        <v>0.10658121456278247</v>
      </c>
      <c r="T257">
        <f t="shared" si="32"/>
        <v>7.074375648159989E-2</v>
      </c>
      <c r="U257">
        <f t="shared" si="33"/>
        <v>7.6129438973416064E-2</v>
      </c>
      <c r="V257">
        <f t="shared" si="27"/>
        <v>9.0116051837458494E-2</v>
      </c>
      <c r="W257">
        <f t="shared" si="28"/>
        <v>9.9041259074239843E-2</v>
      </c>
      <c r="X257">
        <f t="shared" si="34"/>
        <v>6.606973522223436E-2</v>
      </c>
      <c r="Y257" s="118">
        <f t="shared" si="35"/>
        <v>7.074375648159989E-2</v>
      </c>
    </row>
    <row r="258" spans="2:25" outlineLevel="1" x14ac:dyDescent="0.25">
      <c r="B258" s="115">
        <v>120</v>
      </c>
      <c r="C258" s="116">
        <f t="shared" si="18"/>
        <v>0.96097759615999312</v>
      </c>
      <c r="E258" s="115">
        <v>230</v>
      </c>
      <c r="F258" s="100">
        <v>7.5793680072650034</v>
      </c>
      <c r="H258" s="81">
        <f t="shared" si="19"/>
        <v>230</v>
      </c>
      <c r="I258" s="117">
        <f t="shared" si="20"/>
        <v>7.5793680072650027E-2</v>
      </c>
      <c r="J258">
        <f t="shared" si="29"/>
        <v>7.5793680072650027E-2</v>
      </c>
      <c r="K258">
        <f t="shared" si="36"/>
        <v>8.2009480392438799E-2</v>
      </c>
      <c r="L258">
        <f t="shared" si="21"/>
        <v>5.5336677313779767E-2</v>
      </c>
      <c r="M258">
        <f t="shared" si="22"/>
        <v>5.8578200280313429E-2</v>
      </c>
      <c r="N258">
        <f t="shared" si="30"/>
        <v>7.0453732417847595E-2</v>
      </c>
      <c r="O258">
        <f t="shared" si="31"/>
        <v>7.5793680072650027E-2</v>
      </c>
      <c r="P258">
        <f t="shared" si="23"/>
        <v>5.1357910727005469E-2</v>
      </c>
      <c r="Q258">
        <f t="shared" si="24"/>
        <v>5.4138342909035735E-2</v>
      </c>
      <c r="R258">
        <f t="shared" si="25"/>
        <v>0.10298879227267649</v>
      </c>
      <c r="S258">
        <f t="shared" si="26"/>
        <v>0.1148132725494143</v>
      </c>
      <c r="T258">
        <f t="shared" si="32"/>
        <v>7.5793680072650027E-2</v>
      </c>
      <c r="U258">
        <f t="shared" si="33"/>
        <v>8.2009480392438799E-2</v>
      </c>
      <c r="V258">
        <f t="shared" si="27"/>
        <v>9.5931726120010052E-2</v>
      </c>
      <c r="W258">
        <f t="shared" si="28"/>
        <v>0.10611115210171003</v>
      </c>
      <c r="X258">
        <f t="shared" si="34"/>
        <v>7.0453732417847595E-2</v>
      </c>
      <c r="Y258" s="118">
        <f t="shared" si="35"/>
        <v>7.5793680072650027E-2</v>
      </c>
    </row>
    <row r="259" spans="2:25" outlineLevel="1" x14ac:dyDescent="0.25">
      <c r="B259" s="115">
        <v>130</v>
      </c>
      <c r="C259" s="116">
        <f t="shared" si="18"/>
        <v>1.7942148475150006</v>
      </c>
      <c r="E259" s="115">
        <v>240</v>
      </c>
      <c r="F259" s="100">
        <v>8.091426302719988</v>
      </c>
      <c r="H259" s="81">
        <f t="shared" si="19"/>
        <v>240</v>
      </c>
      <c r="I259" s="117">
        <f t="shared" si="20"/>
        <v>8.0914263027199881E-2</v>
      </c>
      <c r="J259">
        <f t="shared" si="29"/>
        <v>8.0914263027199881E-2</v>
      </c>
      <c r="K259">
        <f t="shared" si="36"/>
        <v>8.8037774684337738E-2</v>
      </c>
      <c r="L259">
        <f t="shared" si="21"/>
        <v>5.9163669217344624E-2</v>
      </c>
      <c r="M259">
        <f t="shared" si="22"/>
        <v>6.288412477452697E-2</v>
      </c>
      <c r="N259">
        <f t="shared" si="30"/>
        <v>7.4857244274483009E-2</v>
      </c>
      <c r="O259">
        <f t="shared" si="31"/>
        <v>8.0914263027199881E-2</v>
      </c>
      <c r="P259">
        <f t="shared" si="23"/>
        <v>5.4638046946620389E-2</v>
      </c>
      <c r="Q259">
        <f t="shared" si="24"/>
        <v>5.7795902162285633E-2</v>
      </c>
      <c r="R259">
        <f t="shared" si="25"/>
        <v>0.1097285270774665</v>
      </c>
      <c r="S259">
        <f t="shared" si="26"/>
        <v>0.12325288455807283</v>
      </c>
      <c r="T259">
        <f t="shared" si="32"/>
        <v>8.0914263027199881E-2</v>
      </c>
      <c r="U259">
        <f t="shared" si="33"/>
        <v>8.8037774684337738E-2</v>
      </c>
      <c r="V259">
        <f t="shared" si="27"/>
        <v>0.10175335178029037</v>
      </c>
      <c r="W259">
        <f t="shared" si="28"/>
        <v>0.11327996823807983</v>
      </c>
      <c r="X259">
        <f t="shared" si="34"/>
        <v>7.4857244274483009E-2</v>
      </c>
      <c r="Y259" s="118">
        <f t="shared" si="35"/>
        <v>8.0914263027199881E-2</v>
      </c>
    </row>
    <row r="260" spans="2:25" outlineLevel="1" x14ac:dyDescent="0.25">
      <c r="B260" s="115">
        <v>140</v>
      </c>
      <c r="C260" s="116">
        <f t="shared" si="18"/>
        <v>2.5484231547199951</v>
      </c>
      <c r="E260" s="115">
        <v>250</v>
      </c>
      <c r="F260" s="100">
        <v>8.6146621093749935</v>
      </c>
      <c r="H260" s="81">
        <f t="shared" si="19"/>
        <v>250</v>
      </c>
      <c r="I260" s="117">
        <f t="shared" si="20"/>
        <v>8.6146621093749931E-2</v>
      </c>
      <c r="J260">
        <f t="shared" si="29"/>
        <v>8.6146621093749931E-2</v>
      </c>
      <c r="K260">
        <f t="shared" si="36"/>
        <v>9.4267442767301396E-2</v>
      </c>
      <c r="L260">
        <f t="shared" si="21"/>
        <v>6.3086058137439754E-2</v>
      </c>
      <c r="M260">
        <f t="shared" si="22"/>
        <v>6.7333887690929572E-2</v>
      </c>
      <c r="N260">
        <f t="shared" si="30"/>
        <v>7.9313988941014477E-2</v>
      </c>
      <c r="O260">
        <f t="shared" si="31"/>
        <v>8.6146621093749931E-2</v>
      </c>
      <c r="P260">
        <f t="shared" si="23"/>
        <v>5.7966434718499806E-2</v>
      </c>
      <c r="Q260">
        <f t="shared" si="24"/>
        <v>6.1533300781249953E-2</v>
      </c>
      <c r="R260">
        <f t="shared" si="25"/>
        <v>0.11658781113524291</v>
      </c>
      <c r="S260">
        <f t="shared" si="26"/>
        <v>0.13197441987422195</v>
      </c>
      <c r="T260">
        <f t="shared" si="32"/>
        <v>8.6146621093749931E-2</v>
      </c>
      <c r="U260">
        <f t="shared" si="33"/>
        <v>9.4267442767301396E-2</v>
      </c>
      <c r="V260">
        <f t="shared" si="27"/>
        <v>0.10762511368673038</v>
      </c>
      <c r="W260">
        <f t="shared" si="28"/>
        <v>0.12060526953124989</v>
      </c>
      <c r="X260">
        <f t="shared" si="34"/>
        <v>7.9313988941014477E-2</v>
      </c>
      <c r="Y260" s="118">
        <f t="shared" si="35"/>
        <v>8.6146621093749931E-2</v>
      </c>
    </row>
    <row r="261" spans="2:25" outlineLevel="1" x14ac:dyDescent="0.25">
      <c r="B261" s="115">
        <v>150</v>
      </c>
      <c r="C261" s="116">
        <f t="shared" si="18"/>
        <v>3.2365420156249938</v>
      </c>
      <c r="E261" s="115">
        <v>260</v>
      </c>
      <c r="F261" s="100">
        <v>9.1525425060800121</v>
      </c>
      <c r="H261" s="81">
        <f t="shared" si="19"/>
        <v>260</v>
      </c>
      <c r="I261" s="117">
        <f t="shared" si="20"/>
        <v>9.1525425060800122E-2</v>
      </c>
      <c r="J261">
        <f t="shared" si="29"/>
        <v>9.1525425060800122E-2</v>
      </c>
      <c r="K261">
        <f t="shared" si="36"/>
        <v>0.10074627027060774</v>
      </c>
      <c r="L261">
        <f t="shared" si="21"/>
        <v>6.7130781709316953E-2</v>
      </c>
      <c r="M261">
        <f t="shared" si="22"/>
        <v>7.1961621621862676E-2</v>
      </c>
      <c r="N261">
        <f t="shared" si="30"/>
        <v>8.3850932794993727E-2</v>
      </c>
      <c r="O261">
        <f t="shared" si="31"/>
        <v>9.1525425060800122E-2</v>
      </c>
      <c r="P261">
        <f t="shared" si="23"/>
        <v>6.136363720187285E-2</v>
      </c>
      <c r="Q261">
        <f t="shared" si="24"/>
        <v>6.537530361485723E-2</v>
      </c>
      <c r="R261">
        <f t="shared" si="25"/>
        <v>0.12361020448228281</v>
      </c>
      <c r="S261">
        <f t="shared" si="26"/>
        <v>0.14104477837885085</v>
      </c>
      <c r="T261">
        <f t="shared" si="32"/>
        <v>9.1525425060800122E-2</v>
      </c>
      <c r="U261">
        <f t="shared" si="33"/>
        <v>0.10074627027060774</v>
      </c>
      <c r="V261">
        <f t="shared" si="27"/>
        <v>0.11358173223445898</v>
      </c>
      <c r="W261">
        <f t="shared" si="28"/>
        <v>0.12813559508512015</v>
      </c>
      <c r="X261">
        <f t="shared" si="34"/>
        <v>8.3850932794993727E-2</v>
      </c>
      <c r="Y261" s="118">
        <f t="shared" si="35"/>
        <v>9.1525425060800122E-2</v>
      </c>
    </row>
    <row r="262" spans="2:25" outlineLevel="1" x14ac:dyDescent="0.25">
      <c r="B262" s="115">
        <v>160</v>
      </c>
      <c r="C262" s="116">
        <f t="shared" si="18"/>
        <v>3.87043316607999</v>
      </c>
      <c r="E262" s="115">
        <v>270</v>
      </c>
      <c r="F262" s="100">
        <v>9.7079334022850148</v>
      </c>
      <c r="H262" s="81">
        <f t="shared" si="19"/>
        <v>270</v>
      </c>
      <c r="I262" s="117">
        <f t="shared" si="20"/>
        <v>9.7079334022850142E-2</v>
      </c>
      <c r="J262">
        <f t="shared" si="29"/>
        <v>9.7079334022850142E-2</v>
      </c>
      <c r="K262">
        <f t="shared" si="36"/>
        <v>0.10751701415294322</v>
      </c>
      <c r="L262">
        <f t="shared" si="21"/>
        <v>7.1320597474885436E-2</v>
      </c>
      <c r="M262">
        <f t="shared" si="22"/>
        <v>7.6797867252102317E-2</v>
      </c>
      <c r="N262">
        <f t="shared" si="30"/>
        <v>8.8488891379324947E-2</v>
      </c>
      <c r="O262">
        <f t="shared" si="31"/>
        <v>9.7079334022850142E-2</v>
      </c>
      <c r="P262">
        <f t="shared" si="23"/>
        <v>6.4845817998158556E-2</v>
      </c>
      <c r="Q262">
        <f t="shared" si="24"/>
        <v>6.9342381444892964E-2</v>
      </c>
      <c r="R262">
        <f t="shared" si="25"/>
        <v>0.13083068531205136</v>
      </c>
      <c r="S262">
        <f t="shared" si="26"/>
        <v>0.1505238198141205</v>
      </c>
      <c r="T262">
        <f t="shared" si="32"/>
        <v>9.7079334022850142E-2</v>
      </c>
      <c r="U262">
        <f t="shared" si="33"/>
        <v>0.10751701415294324</v>
      </c>
      <c r="V262">
        <f t="shared" si="27"/>
        <v>0.11964939114055921</v>
      </c>
      <c r="W262">
        <f t="shared" si="28"/>
        <v>0.13591106763199018</v>
      </c>
      <c r="X262">
        <f t="shared" si="34"/>
        <v>8.8488891379324947E-2</v>
      </c>
      <c r="Y262" s="118">
        <f t="shared" si="35"/>
        <v>9.7079334022850142E-2</v>
      </c>
    </row>
    <row r="263" spans="2:25" outlineLevel="1" x14ac:dyDescent="0.25">
      <c r="B263" s="115">
        <v>170</v>
      </c>
      <c r="C263" s="116">
        <f t="shared" si="18"/>
        <v>4.4609239065350019</v>
      </c>
      <c r="E263" s="115">
        <v>280</v>
      </c>
      <c r="F263" s="100">
        <v>10.283142864639991</v>
      </c>
      <c r="H263" s="81">
        <f t="shared" si="19"/>
        <v>280</v>
      </c>
      <c r="I263" s="117">
        <f t="shared" si="20"/>
        <v>0.10283142864639991</v>
      </c>
      <c r="J263">
        <f t="shared" si="29"/>
        <v>0.10283142864639991</v>
      </c>
      <c r="K263">
        <f t="shared" si="36"/>
        <v>0.1146177339797507</v>
      </c>
      <c r="L263">
        <f t="shared" si="21"/>
        <v>7.5674364170149777E-2</v>
      </c>
      <c r="M263">
        <f t="shared" si="22"/>
        <v>8.186980998553621E-2</v>
      </c>
      <c r="N263">
        <f t="shared" si="30"/>
        <v>9.3243106766202524E-2</v>
      </c>
      <c r="O263">
        <f t="shared" si="31"/>
        <v>0.10283142864639991</v>
      </c>
      <c r="P263">
        <f t="shared" si="23"/>
        <v>6.8425125191200031E-2</v>
      </c>
      <c r="Q263">
        <f t="shared" si="24"/>
        <v>7.3451020461714228E-2</v>
      </c>
      <c r="R263">
        <f t="shared" si="25"/>
        <v>0.13827633872147091</v>
      </c>
      <c r="S263">
        <f t="shared" si="26"/>
        <v>0.16046482757165095</v>
      </c>
      <c r="T263">
        <f t="shared" si="32"/>
        <v>0.10283142864639991</v>
      </c>
      <c r="U263">
        <f t="shared" si="33"/>
        <v>0.1146177339797507</v>
      </c>
      <c r="V263">
        <f t="shared" si="27"/>
        <v>0.12584661763110641</v>
      </c>
      <c r="W263">
        <f t="shared" si="28"/>
        <v>0.14396400010495985</v>
      </c>
      <c r="X263">
        <f t="shared" si="34"/>
        <v>9.3243106766202524E-2</v>
      </c>
      <c r="Y263" s="118">
        <f t="shared" si="35"/>
        <v>0.10283142864639991</v>
      </c>
    </row>
    <row r="264" spans="2:25" outlineLevel="1" x14ac:dyDescent="0.25">
      <c r="B264" s="115">
        <v>180</v>
      </c>
      <c r="C264" s="116">
        <f t="shared" si="18"/>
        <v>5.0178504286399974</v>
      </c>
      <c r="E264" s="115">
        <v>290</v>
      </c>
      <c r="F264" s="100">
        <v>10.879964443594993</v>
      </c>
      <c r="H264" s="81">
        <f t="shared" si="19"/>
        <v>290</v>
      </c>
      <c r="I264" s="117">
        <f t="shared" si="20"/>
        <v>0.10879964443594993</v>
      </c>
      <c r="J264">
        <f t="shared" si="29"/>
        <v>0.10879964443594993</v>
      </c>
      <c r="K264">
        <f t="shared" si="36"/>
        <v>0.12208213759866544</v>
      </c>
      <c r="L264">
        <f t="shared" si="21"/>
        <v>8.020732559891286E-2</v>
      </c>
      <c r="M264">
        <f t="shared" si="22"/>
        <v>8.7201526856189607E-2</v>
      </c>
      <c r="N264">
        <f t="shared" si="30"/>
        <v>9.8123808915267702E-2</v>
      </c>
      <c r="O264">
        <f t="shared" si="31"/>
        <v>0.10879964443594993</v>
      </c>
      <c r="P264">
        <f t="shared" si="23"/>
        <v>7.2110067653564189E-2</v>
      </c>
      <c r="Q264">
        <f t="shared" si="24"/>
        <v>7.7714031739964232E-2</v>
      </c>
      <c r="R264">
        <f t="shared" si="25"/>
        <v>0.14596703749864143</v>
      </c>
      <c r="S264">
        <f t="shared" si="26"/>
        <v>0.17091499263813159</v>
      </c>
      <c r="T264">
        <f t="shared" si="32"/>
        <v>0.10879964443594993</v>
      </c>
      <c r="U264">
        <f t="shared" si="33"/>
        <v>0.12208213759866543</v>
      </c>
      <c r="V264">
        <f t="shared" si="27"/>
        <v>0.13218512914010147</v>
      </c>
      <c r="W264">
        <f t="shared" si="28"/>
        <v>0.15231950221032989</v>
      </c>
      <c r="X264">
        <f t="shared" si="34"/>
        <v>9.8123808915267702E-2</v>
      </c>
      <c r="Y264" s="118">
        <f t="shared" si="35"/>
        <v>0.10879964443594993</v>
      </c>
    </row>
    <row r="265" spans="2:25" outlineLevel="1" x14ac:dyDescent="0.25">
      <c r="B265" s="115">
        <v>190</v>
      </c>
      <c r="C265" s="116">
        <f t="shared" si="18"/>
        <v>5.5501011418450004</v>
      </c>
      <c r="E265" s="115">
        <v>300</v>
      </c>
      <c r="F265" s="100">
        <v>11.499720499999993</v>
      </c>
      <c r="H265" s="81">
        <f t="shared" si="19"/>
        <v>300</v>
      </c>
      <c r="I265" s="117">
        <f t="shared" si="20"/>
        <v>0.11499720499999994</v>
      </c>
      <c r="J265">
        <f t="shared" si="29"/>
        <v>0.11499720499999994</v>
      </c>
      <c r="K265">
        <f t="shared" si="36"/>
        <v>0.12993993425749567</v>
      </c>
      <c r="L265">
        <f t="shared" si="21"/>
        <v>8.4931395898596246E-2</v>
      </c>
      <c r="M265">
        <f t="shared" si="22"/>
        <v>9.281423875535405E-2</v>
      </c>
      <c r="N265">
        <f t="shared" si="30"/>
        <v>0.10313676526211556</v>
      </c>
      <c r="O265">
        <f t="shared" si="31"/>
        <v>0.11499720499999994</v>
      </c>
      <c r="P265">
        <f t="shared" si="23"/>
        <v>7.5905885912178922E-2</v>
      </c>
      <c r="Q265">
        <f t="shared" si="24"/>
        <v>8.2140860714285668E-2</v>
      </c>
      <c r="R265">
        <f t="shared" si="25"/>
        <v>0.15391611766560176</v>
      </c>
      <c r="S265">
        <f t="shared" si="26"/>
        <v>0.18191590796049395</v>
      </c>
      <c r="T265">
        <f t="shared" si="32"/>
        <v>0.11499720499999994</v>
      </c>
      <c r="U265">
        <f t="shared" si="33"/>
        <v>0.12993993425749567</v>
      </c>
      <c r="V265">
        <f t="shared" si="27"/>
        <v>0.13867065427930242</v>
      </c>
      <c r="W265">
        <f t="shared" si="28"/>
        <v>0.1609960869999999</v>
      </c>
      <c r="X265">
        <f t="shared" si="34"/>
        <v>0.10313676526211556</v>
      </c>
      <c r="Y265" s="118">
        <f t="shared" si="35"/>
        <v>0.11499720499999994</v>
      </c>
    </row>
    <row r="266" spans="2:25" outlineLevel="1" x14ac:dyDescent="0.25">
      <c r="B266" s="115">
        <v>200</v>
      </c>
      <c r="C266" s="116">
        <f t="shared" si="18"/>
        <v>6.0656600000000047</v>
      </c>
      <c r="E266" s="115">
        <v>310</v>
      </c>
      <c r="F266" s="100">
        <v>12.143305531705003</v>
      </c>
      <c r="H266" s="81">
        <f t="shared" si="19"/>
        <v>310</v>
      </c>
      <c r="I266" s="117">
        <f t="shared" si="20"/>
        <v>0.12143305531705004</v>
      </c>
      <c r="J266">
        <f t="shared" si="29"/>
        <v>0.12143305531705004</v>
      </c>
      <c r="K266">
        <f t="shared" si="36"/>
        <v>0.13821719113376363</v>
      </c>
      <c r="L266">
        <f t="shared" si="21"/>
        <v>8.9855445596657771E-2</v>
      </c>
      <c r="M266">
        <f t="shared" si="22"/>
        <v>9.8726565095545449E-2</v>
      </c>
      <c r="N266">
        <f t="shared" si="30"/>
        <v>0.10828382018997885</v>
      </c>
      <c r="O266">
        <f t="shared" si="31"/>
        <v>0.12143305531705004</v>
      </c>
      <c r="P266">
        <f t="shared" si="23"/>
        <v>7.9814918502440935E-2</v>
      </c>
      <c r="Q266">
        <f t="shared" si="24"/>
        <v>8.6737896655035743E-2</v>
      </c>
      <c r="R266">
        <f t="shared" si="25"/>
        <v>0.16213104994141131</v>
      </c>
      <c r="S266">
        <f t="shared" si="26"/>
        <v>0.1935040675872691</v>
      </c>
      <c r="T266">
        <f t="shared" si="32"/>
        <v>0.12143305531705004</v>
      </c>
      <c r="U266">
        <f t="shared" si="33"/>
        <v>0.13821719113376366</v>
      </c>
      <c r="V266">
        <f t="shared" si="27"/>
        <v>0.14530373103235417</v>
      </c>
      <c r="W266">
        <f t="shared" si="28"/>
        <v>0.17000627744387004</v>
      </c>
      <c r="X266">
        <f t="shared" si="34"/>
        <v>0.10828382018997885</v>
      </c>
      <c r="Y266" s="118">
        <f t="shared" si="35"/>
        <v>0.12143305531705004</v>
      </c>
    </row>
    <row r="267" spans="2:25" outlineLevel="1" x14ac:dyDescent="0.25">
      <c r="B267" s="115">
        <v>210</v>
      </c>
      <c r="C267" s="116">
        <f t="shared" si="18"/>
        <v>6.5716498279549933</v>
      </c>
      <c r="E267" s="115">
        <v>320</v>
      </c>
      <c r="F267" s="100">
        <v>12.811229500159994</v>
      </c>
      <c r="H267" s="81">
        <f t="shared" si="19"/>
        <v>320</v>
      </c>
      <c r="I267" s="117">
        <f t="shared" si="20"/>
        <v>0.12811229500159993</v>
      </c>
      <c r="J267">
        <f t="shared" si="29"/>
        <v>0.12811229500159993</v>
      </c>
      <c r="K267">
        <f t="shared" si="36"/>
        <v>0.14693669180922217</v>
      </c>
      <c r="L267">
        <f t="shared" si="21"/>
        <v>9.498558834839721E-2</v>
      </c>
      <c r="M267">
        <f t="shared" si="22"/>
        <v>0.10495477986373013</v>
      </c>
      <c r="N267">
        <f t="shared" si="30"/>
        <v>0.11356342411055652</v>
      </c>
      <c r="O267">
        <f t="shared" si="31"/>
        <v>0.12811229500159993</v>
      </c>
      <c r="P267">
        <f t="shared" si="23"/>
        <v>8.3836963697400138E-2</v>
      </c>
      <c r="Q267">
        <f t="shared" si="24"/>
        <v>9.1508782143999948E-2</v>
      </c>
      <c r="R267">
        <f t="shared" si="25"/>
        <v>0.17061410707540817</v>
      </c>
      <c r="S267">
        <f t="shared" si="26"/>
        <v>0.20571136853291103</v>
      </c>
      <c r="T267">
        <f t="shared" si="32"/>
        <v>0.12811229500159993</v>
      </c>
      <c r="U267">
        <f t="shared" si="33"/>
        <v>0.14693669180922217</v>
      </c>
      <c r="V267">
        <f t="shared" si="27"/>
        <v>0.15208048165971513</v>
      </c>
      <c r="W267">
        <f t="shared" si="28"/>
        <v>0.17935721300223989</v>
      </c>
      <c r="X267">
        <f t="shared" si="34"/>
        <v>0.11356342411055652</v>
      </c>
      <c r="Y267" s="118">
        <f t="shared" si="35"/>
        <v>0.12811229500159993</v>
      </c>
    </row>
    <row r="268" spans="2:25" outlineLevel="1" x14ac:dyDescent="0.25">
      <c r="B268" s="115">
        <v>220</v>
      </c>
      <c r="C268" s="116">
        <f t="shared" si="18"/>
        <v>7.0743756481599895</v>
      </c>
      <c r="E268" s="115">
        <v>330</v>
      </c>
      <c r="F268" s="100">
        <v>13.503661157014999</v>
      </c>
      <c r="H268" s="81">
        <f t="shared" si="19"/>
        <v>330</v>
      </c>
      <c r="I268" s="117">
        <f t="shared" si="20"/>
        <v>0.13503661157014998</v>
      </c>
      <c r="J268">
        <f t="shared" si="29"/>
        <v>0.13503661157014998</v>
      </c>
      <c r="K268">
        <f t="shared" si="36"/>
        <v>0.15611829746375638</v>
      </c>
      <c r="L268">
        <f t="shared" si="21"/>
        <v>0.10032546864734269</v>
      </c>
      <c r="M268">
        <f t="shared" si="22"/>
        <v>0.11151306961696886</v>
      </c>
      <c r="N268">
        <f t="shared" si="30"/>
        <v>0.11897115052821726</v>
      </c>
      <c r="O268">
        <f t="shared" si="31"/>
        <v>0.13503661157014998</v>
      </c>
      <c r="P268">
        <f t="shared" si="23"/>
        <v>8.7969635741798016E-2</v>
      </c>
      <c r="Q268">
        <f t="shared" si="24"/>
        <v>9.6454722550107133E-2</v>
      </c>
      <c r="R268">
        <f t="shared" si="25"/>
        <v>0.17936302608482468</v>
      </c>
      <c r="S268">
        <f t="shared" si="26"/>
        <v>0.21856561644925893</v>
      </c>
      <c r="T268">
        <f t="shared" si="32"/>
        <v>0.13503661157014998</v>
      </c>
      <c r="U268">
        <f t="shared" si="33"/>
        <v>0.15611829746375641</v>
      </c>
      <c r="V268">
        <f t="shared" si="27"/>
        <v>0.15899336148272475</v>
      </c>
      <c r="W268">
        <f t="shared" si="28"/>
        <v>0.18905125619820998</v>
      </c>
      <c r="X268">
        <f t="shared" si="34"/>
        <v>0.11897115052821726</v>
      </c>
      <c r="Y268" s="118">
        <f t="shared" si="35"/>
        <v>0.13503661157014998</v>
      </c>
    </row>
    <row r="269" spans="2:25" outlineLevel="1" x14ac:dyDescent="0.25">
      <c r="B269" s="115">
        <v>230</v>
      </c>
      <c r="C269" s="116">
        <f t="shared" si="18"/>
        <v>7.5793680072650034</v>
      </c>
      <c r="E269" s="115">
        <v>340</v>
      </c>
      <c r="F269" s="100">
        <v>14.220471370720009</v>
      </c>
      <c r="H269" s="81">
        <f t="shared" si="19"/>
        <v>340</v>
      </c>
      <c r="I269" s="117">
        <f t="shared" si="20"/>
        <v>0.14220471370720009</v>
      </c>
      <c r="J269">
        <f t="shared" si="29"/>
        <v>0.14220471370720009</v>
      </c>
      <c r="K269">
        <f t="shared" si="36"/>
        <v>0.16577931352569816</v>
      </c>
      <c r="L269">
        <f t="shared" si="21"/>
        <v>0.10587655111652319</v>
      </c>
      <c r="M269">
        <f t="shared" si="22"/>
        <v>0.11841379537549869</v>
      </c>
      <c r="N269">
        <f t="shared" si="30"/>
        <v>0.12450019860770224</v>
      </c>
      <c r="O269">
        <f t="shared" si="31"/>
        <v>0.14220471370720009</v>
      </c>
      <c r="P269">
        <f t="shared" si="23"/>
        <v>9.2208714214965626E-2</v>
      </c>
      <c r="Q269">
        <f t="shared" si="24"/>
        <v>0.10157479550514292</v>
      </c>
      <c r="R269">
        <f t="shared" si="25"/>
        <v>0.1883716637825798</v>
      </c>
      <c r="S269">
        <f t="shared" si="26"/>
        <v>0.23209103893597741</v>
      </c>
      <c r="T269">
        <f t="shared" si="32"/>
        <v>0.14220471370720009</v>
      </c>
      <c r="U269">
        <f t="shared" si="33"/>
        <v>0.16577931352569816</v>
      </c>
      <c r="V269">
        <f t="shared" si="27"/>
        <v>0.16603187736778363</v>
      </c>
      <c r="W269">
        <f t="shared" si="28"/>
        <v>0.19908659919008012</v>
      </c>
      <c r="X269">
        <f t="shared" si="34"/>
        <v>0.12450019860770224</v>
      </c>
      <c r="Y269" s="118">
        <f t="shared" si="35"/>
        <v>0.14220471370720009</v>
      </c>
    </row>
    <row r="270" spans="2:25" outlineLevel="1" x14ac:dyDescent="0.25">
      <c r="B270" s="115">
        <v>240</v>
      </c>
      <c r="C270" s="116">
        <f t="shared" si="18"/>
        <v>8.091426302719988</v>
      </c>
      <c r="E270" s="115">
        <v>350</v>
      </c>
      <c r="F270" s="100">
        <v>14.961276453124999</v>
      </c>
      <c r="H270" s="81">
        <f t="shared" si="19"/>
        <v>350</v>
      </c>
      <c r="I270" s="117">
        <f t="shared" si="20"/>
        <v>0.14961276453125</v>
      </c>
      <c r="J270">
        <f t="shared" si="29"/>
        <v>0.14961276453125</v>
      </c>
      <c r="K270">
        <f t="shared" si="36"/>
        <v>0.1759348662480576</v>
      </c>
      <c r="L270">
        <f t="shared" si="21"/>
        <v>0.11163841223141316</v>
      </c>
      <c r="M270">
        <f t="shared" si="22"/>
        <v>0.12566776160575543</v>
      </c>
      <c r="N270">
        <f t="shared" si="30"/>
        <v>0.13014187833261751</v>
      </c>
      <c r="O270">
        <f t="shared" si="31"/>
        <v>0.14961276453125</v>
      </c>
      <c r="P270">
        <f t="shared" si="23"/>
        <v>9.6548484857445729E-2</v>
      </c>
      <c r="Q270">
        <f t="shared" si="24"/>
        <v>0.10686626037946428</v>
      </c>
      <c r="R270">
        <f t="shared" si="25"/>
        <v>0.19763064356765139</v>
      </c>
      <c r="S270">
        <f t="shared" si="26"/>
        <v>0.24630881274728061</v>
      </c>
      <c r="T270">
        <f t="shared" si="32"/>
        <v>0.14961276453125</v>
      </c>
      <c r="U270">
        <f t="shared" si="33"/>
        <v>0.1759348662480576</v>
      </c>
      <c r="V270">
        <f t="shared" si="27"/>
        <v>0.17318327118266488</v>
      </c>
      <c r="W270">
        <f t="shared" si="28"/>
        <v>0.20945787034374999</v>
      </c>
      <c r="X270">
        <f t="shared" si="34"/>
        <v>0.13014187833261751</v>
      </c>
      <c r="Y270" s="118">
        <f t="shared" si="35"/>
        <v>0.14961276453125</v>
      </c>
    </row>
    <row r="271" spans="2:25" outlineLevel="1" x14ac:dyDescent="0.25">
      <c r="B271" s="115">
        <v>250</v>
      </c>
      <c r="C271" s="116">
        <f t="shared" si="18"/>
        <v>8.6146621093749935</v>
      </c>
      <c r="E271" s="115">
        <v>360</v>
      </c>
      <c r="F271" s="100">
        <v>15.725481486079985</v>
      </c>
      <c r="H271" s="81">
        <f t="shared" si="19"/>
        <v>360</v>
      </c>
      <c r="I271" s="117">
        <f t="shared" si="20"/>
        <v>0.15725481486079984</v>
      </c>
      <c r="J271">
        <f t="shared" si="29"/>
        <v>0.15725481486079984</v>
      </c>
      <c r="K271">
        <f t="shared" si="36"/>
        <v>0.18659829523063406</v>
      </c>
      <c r="L271">
        <f t="shared" si="21"/>
        <v>0.11760903550164817</v>
      </c>
      <c r="M271">
        <f t="shared" si="22"/>
        <v>0.13328449659331007</v>
      </c>
      <c r="N271">
        <f t="shared" si="30"/>
        <v>0.13588607525449373</v>
      </c>
      <c r="O271">
        <f t="shared" si="31"/>
        <v>0.15725481486079984</v>
      </c>
      <c r="P271">
        <f t="shared" si="23"/>
        <v>0.10098207008906027</v>
      </c>
      <c r="Q271">
        <f t="shared" si="24"/>
        <v>0.11232486775771418</v>
      </c>
      <c r="R271">
        <f t="shared" si="25"/>
        <v>0.20712799123919612</v>
      </c>
      <c r="S271">
        <f t="shared" si="26"/>
        <v>0.2612376133228877</v>
      </c>
      <c r="T271">
        <f t="shared" si="32"/>
        <v>0.15725481486079984</v>
      </c>
      <c r="U271">
        <f t="shared" si="33"/>
        <v>0.18659829523063406</v>
      </c>
      <c r="V271">
        <f t="shared" si="27"/>
        <v>0.18043316357851655</v>
      </c>
      <c r="W271">
        <f t="shared" si="28"/>
        <v>0.22015674080511977</v>
      </c>
      <c r="X271">
        <f t="shared" si="34"/>
        <v>0.13588607525449373</v>
      </c>
      <c r="Y271" s="118">
        <f t="shared" si="35"/>
        <v>0.15725481486079984</v>
      </c>
    </row>
    <row r="272" spans="2:25" outlineLevel="1" x14ac:dyDescent="0.25">
      <c r="B272" s="115">
        <v>260</v>
      </c>
      <c r="C272" s="116">
        <f t="shared" si="18"/>
        <v>9.1525425060800121</v>
      </c>
      <c r="E272" s="115">
        <v>370</v>
      </c>
      <c r="F272" s="100">
        <v>16.512323648034961</v>
      </c>
      <c r="H272" s="81">
        <f t="shared" si="19"/>
        <v>370</v>
      </c>
      <c r="I272" s="117">
        <f t="shared" si="20"/>
        <v>0.1651232364803496</v>
      </c>
      <c r="J272">
        <f t="shared" si="29"/>
        <v>0.1651232364803496</v>
      </c>
      <c r="K272">
        <f t="shared" si="36"/>
        <v>0.19778156932315091</v>
      </c>
      <c r="L272">
        <f t="shared" si="21"/>
        <v>0.12378511125706297</v>
      </c>
      <c r="M272">
        <f t="shared" si="22"/>
        <v>0.14127254951653637</v>
      </c>
      <c r="N272">
        <f t="shared" si="30"/>
        <v>0.14172169201531026</v>
      </c>
      <c r="O272">
        <f t="shared" si="31"/>
        <v>0.1651232364803496</v>
      </c>
      <c r="P272">
        <f t="shared" si="23"/>
        <v>0.10550174748646558</v>
      </c>
      <c r="Q272">
        <f t="shared" si="24"/>
        <v>0.11794516891453544</v>
      </c>
      <c r="R272">
        <f t="shared" si="25"/>
        <v>0.21684975755359776</v>
      </c>
      <c r="S272">
        <f t="shared" si="26"/>
        <v>0.27689419705241125</v>
      </c>
      <c r="T272">
        <f t="shared" si="32"/>
        <v>0.1651232364803496</v>
      </c>
      <c r="U272">
        <f t="shared" si="33"/>
        <v>0.19778156932315094</v>
      </c>
      <c r="V272">
        <f t="shared" si="27"/>
        <v>0.18776615400208144</v>
      </c>
      <c r="W272">
        <f t="shared" si="28"/>
        <v>0.23117253107248942</v>
      </c>
      <c r="X272">
        <f t="shared" si="34"/>
        <v>0.14172169201531026</v>
      </c>
      <c r="Y272" s="118">
        <f t="shared" si="35"/>
        <v>0.1651232364803496</v>
      </c>
    </row>
    <row r="273" spans="2:25" outlineLevel="1" x14ac:dyDescent="0.25">
      <c r="B273" s="115">
        <v>270</v>
      </c>
      <c r="C273" s="116">
        <f t="shared" si="18"/>
        <v>9.7079334022850148</v>
      </c>
      <c r="E273" s="115">
        <v>380</v>
      </c>
      <c r="F273" s="100">
        <v>17.320915540640051</v>
      </c>
      <c r="H273" s="81">
        <f t="shared" si="19"/>
        <v>380</v>
      </c>
      <c r="I273" s="117">
        <f t="shared" si="20"/>
        <v>0.1732091554064005</v>
      </c>
      <c r="J273">
        <f t="shared" si="29"/>
        <v>0.1732091554064005</v>
      </c>
      <c r="K273">
        <f t="shared" si="36"/>
        <v>0.2094957346697999</v>
      </c>
      <c r="L273">
        <f t="shared" si="21"/>
        <v>0.1301623422523574</v>
      </c>
      <c r="M273">
        <f t="shared" si="22"/>
        <v>0.14963981047842853</v>
      </c>
      <c r="N273">
        <f t="shared" si="30"/>
        <v>0.14763706420821504</v>
      </c>
      <c r="O273">
        <f t="shared" si="31"/>
        <v>0.1732091554064005</v>
      </c>
      <c r="P273">
        <f t="shared" si="23"/>
        <v>0.11009925464211788</v>
      </c>
      <c r="Q273">
        <f t="shared" si="24"/>
        <v>0.12372082529028608</v>
      </c>
      <c r="R273">
        <f t="shared" si="25"/>
        <v>0.22678062533802673</v>
      </c>
      <c r="S273">
        <f t="shared" si="26"/>
        <v>0.29329402853771985</v>
      </c>
      <c r="T273">
        <f t="shared" si="32"/>
        <v>0.1732091554064005</v>
      </c>
      <c r="U273">
        <f t="shared" si="33"/>
        <v>0.2094957346697999</v>
      </c>
      <c r="V273">
        <f t="shared" si="27"/>
        <v>0.19516637371266082</v>
      </c>
      <c r="W273">
        <f t="shared" si="28"/>
        <v>0.24249281756896068</v>
      </c>
      <c r="X273">
        <f t="shared" si="34"/>
        <v>0.14763706420821504</v>
      </c>
      <c r="Y273" s="118">
        <f t="shared" si="35"/>
        <v>0.1732091554064005</v>
      </c>
    </row>
    <row r="274" spans="2:25" outlineLevel="1" x14ac:dyDescent="0.25">
      <c r="B274" s="115">
        <v>280</v>
      </c>
      <c r="C274" s="116">
        <f t="shared" si="18"/>
        <v>10.283142864639991</v>
      </c>
      <c r="E274" s="115">
        <v>390</v>
      </c>
      <c r="F274" s="100">
        <v>18.150288515345046</v>
      </c>
      <c r="H274" s="81">
        <f t="shared" si="19"/>
        <v>390</v>
      </c>
      <c r="I274" s="117">
        <f t="shared" si="20"/>
        <v>0.18150288515345048</v>
      </c>
      <c r="J274">
        <f t="shared" si="29"/>
        <v>0.18150288515345048</v>
      </c>
      <c r="K274">
        <f t="shared" si="36"/>
        <v>0.2217514049362023</v>
      </c>
      <c r="L274">
        <f t="shared" si="21"/>
        <v>0.13673575633185639</v>
      </c>
      <c r="M274">
        <f t="shared" si="22"/>
        <v>0.15839386066871594</v>
      </c>
      <c r="N274">
        <f t="shared" si="30"/>
        <v>0.15362034865439819</v>
      </c>
      <c r="O274">
        <f t="shared" si="31"/>
        <v>0.18150288515345048</v>
      </c>
      <c r="P274">
        <f t="shared" si="23"/>
        <v>0.11476607906146158</v>
      </c>
      <c r="Q274">
        <f t="shared" si="24"/>
        <v>0.12964491796675034</v>
      </c>
      <c r="R274">
        <f t="shared" si="25"/>
        <v>0.23690449917256887</v>
      </c>
      <c r="S274">
        <f t="shared" si="26"/>
        <v>0.31045196691068316</v>
      </c>
      <c r="T274">
        <f t="shared" si="32"/>
        <v>0.18150288515345048</v>
      </c>
      <c r="U274">
        <f t="shared" si="33"/>
        <v>0.2217514049362023</v>
      </c>
      <c r="V274">
        <f t="shared" si="27"/>
        <v>0.20261798963180128</v>
      </c>
      <c r="W274">
        <f t="shared" si="28"/>
        <v>0.25410403921483066</v>
      </c>
      <c r="X274">
        <f t="shared" si="34"/>
        <v>0.15362034865439819</v>
      </c>
      <c r="Y274" s="118">
        <f t="shared" si="35"/>
        <v>0.18150288515345048</v>
      </c>
    </row>
    <row r="275" spans="2:25" outlineLevel="1" x14ac:dyDescent="0.25">
      <c r="B275" s="115">
        <v>290</v>
      </c>
      <c r="C275" s="116">
        <f t="shared" si="18"/>
        <v>10.879964443594993</v>
      </c>
      <c r="E275" s="115">
        <v>400</v>
      </c>
      <c r="F275" s="100">
        <v>18.999436000000046</v>
      </c>
      <c r="H275" s="81">
        <f t="shared" si="19"/>
        <v>400</v>
      </c>
      <c r="I275" s="117">
        <f t="shared" si="20"/>
        <v>0.18999436000000045</v>
      </c>
      <c r="J275">
        <f t="shared" si="29"/>
        <v>0.18999436000000045</v>
      </c>
      <c r="K275">
        <f t="shared" si="36"/>
        <v>0.23455930504385197</v>
      </c>
      <c r="L275">
        <f t="shared" si="21"/>
        <v>0.14350002738968179</v>
      </c>
      <c r="M275">
        <f t="shared" si="22"/>
        <v>0.16754236074560858</v>
      </c>
      <c r="N275">
        <f t="shared" si="30"/>
        <v>0.15965988275776397</v>
      </c>
      <c r="O275">
        <f t="shared" si="31"/>
        <v>0.18999436000000045</v>
      </c>
      <c r="P275">
        <f t="shared" si="23"/>
        <v>0.11949373204065981</v>
      </c>
      <c r="Q275">
        <f t="shared" si="24"/>
        <v>0.13571025714285748</v>
      </c>
      <c r="R275">
        <f t="shared" si="25"/>
        <v>0.24720507592439764</v>
      </c>
      <c r="S275">
        <f t="shared" si="26"/>
        <v>0.32838302706139277</v>
      </c>
      <c r="T275">
        <f t="shared" si="32"/>
        <v>0.18999436000000045</v>
      </c>
      <c r="U275">
        <f t="shared" si="33"/>
        <v>0.23455930504385197</v>
      </c>
      <c r="V275">
        <f t="shared" si="27"/>
        <v>0.21010565797336164</v>
      </c>
      <c r="W275">
        <f t="shared" si="28"/>
        <v>0.26599210400000062</v>
      </c>
      <c r="X275">
        <f t="shared" si="34"/>
        <v>0.15965988275776397</v>
      </c>
      <c r="Y275" s="118">
        <f t="shared" si="35"/>
        <v>0.18999436000000045</v>
      </c>
    </row>
    <row r="276" spans="2:25" outlineLevel="1" x14ac:dyDescent="0.25">
      <c r="B276" s="115">
        <v>300</v>
      </c>
      <c r="C276" s="116">
        <f t="shared" si="18"/>
        <v>11.499720499999993</v>
      </c>
      <c r="E276" s="115">
        <v>410</v>
      </c>
      <c r="F276" s="100">
        <v>19.867356825455012</v>
      </c>
      <c r="H276" s="81">
        <f t="shared" si="19"/>
        <v>410</v>
      </c>
      <c r="I276" s="117">
        <f t="shared" si="20"/>
        <v>0.19867356825455013</v>
      </c>
      <c r="J276">
        <f t="shared" si="29"/>
        <v>0.19867356825455013</v>
      </c>
      <c r="K276">
        <f t="shared" si="36"/>
        <v>0.24793088107901198</v>
      </c>
      <c r="L276">
        <f t="shared" si="21"/>
        <v>0.15044980582964432</v>
      </c>
      <c r="M276">
        <f t="shared" si="22"/>
        <v>0.17709348648500858</v>
      </c>
      <c r="N276">
        <f t="shared" si="30"/>
        <v>0.16574451419984915</v>
      </c>
      <c r="O276">
        <f t="shared" si="31"/>
        <v>0.19867356825455013</v>
      </c>
      <c r="P276">
        <f t="shared" si="23"/>
        <v>0.12427400577559067</v>
      </c>
      <c r="Q276">
        <f t="shared" si="24"/>
        <v>0.14190969161039296</v>
      </c>
      <c r="R276">
        <f t="shared" si="25"/>
        <v>0.25766639473208658</v>
      </c>
      <c r="S276">
        <f t="shared" si="26"/>
        <v>0.34710323351061673</v>
      </c>
      <c r="T276">
        <f t="shared" si="32"/>
        <v>0.19867356825455013</v>
      </c>
      <c r="U276">
        <f t="shared" si="33"/>
        <v>0.24793088107901196</v>
      </c>
      <c r="V276">
        <f t="shared" si="27"/>
        <v>0.21761492769069687</v>
      </c>
      <c r="W276">
        <f t="shared" si="28"/>
        <v>0.27814299555637018</v>
      </c>
      <c r="X276">
        <f t="shared" si="34"/>
        <v>0.16574451419984915</v>
      </c>
      <c r="Y276" s="118">
        <f t="shared" si="35"/>
        <v>0.19867356825455013</v>
      </c>
    </row>
    <row r="277" spans="2:25" outlineLevel="1" x14ac:dyDescent="0.25">
      <c r="B277" s="115">
        <v>310</v>
      </c>
      <c r="C277" s="116">
        <f t="shared" si="18"/>
        <v>12.143305531705003</v>
      </c>
      <c r="E277" s="115">
        <v>420</v>
      </c>
      <c r="F277" s="100">
        <v>20.753098552160033</v>
      </c>
      <c r="H277" s="81">
        <f t="shared" si="19"/>
        <v>420</v>
      </c>
      <c r="I277" s="117">
        <f t="shared" si="20"/>
        <v>0.20753098552160032</v>
      </c>
      <c r="J277">
        <f t="shared" si="29"/>
        <v>0.20753098552160032</v>
      </c>
      <c r="K277">
        <f t="shared" si="36"/>
        <v>0.26187899050942259</v>
      </c>
      <c r="L277">
        <f t="shared" si="21"/>
        <v>0.15758005968241273</v>
      </c>
      <c r="M277">
        <f t="shared" si="22"/>
        <v>0.18705642179244472</v>
      </c>
      <c r="N277">
        <f t="shared" si="30"/>
        <v>0.17186390081075728</v>
      </c>
      <c r="O277">
        <f t="shared" si="31"/>
        <v>0.20753098552160032</v>
      </c>
      <c r="P277">
        <f t="shared" si="23"/>
        <v>0.12909921325980672</v>
      </c>
      <c r="Q277">
        <f t="shared" si="24"/>
        <v>0.14823641822971451</v>
      </c>
      <c r="R277">
        <f t="shared" si="25"/>
        <v>0.26827336536858493</v>
      </c>
      <c r="S277">
        <f t="shared" si="26"/>
        <v>0.3666305867131916</v>
      </c>
      <c r="T277">
        <f t="shared" si="32"/>
        <v>0.20753098552160032</v>
      </c>
      <c r="U277">
        <f t="shared" si="33"/>
        <v>0.26187899050942259</v>
      </c>
      <c r="V277">
        <f t="shared" si="27"/>
        <v>0.22513259476095421</v>
      </c>
      <c r="W277">
        <f t="shared" si="28"/>
        <v>0.29054337973024041</v>
      </c>
      <c r="X277">
        <f t="shared" si="34"/>
        <v>0.17186390081075728</v>
      </c>
      <c r="Y277" s="118">
        <f t="shared" si="35"/>
        <v>0.20753098552160032</v>
      </c>
    </row>
    <row r="278" spans="2:25" outlineLevel="1" x14ac:dyDescent="0.25">
      <c r="B278" s="115">
        <v>320</v>
      </c>
      <c r="C278" s="116">
        <f t="shared" ref="C278:C309" si="37">$B$235+$C$235*B278+$D$235*B278^2+$E$235*B278^3+$F$235*B278^4+$G$235*B278^5</f>
        <v>12.811229500159994</v>
      </c>
      <c r="E278" s="115">
        <v>430</v>
      </c>
      <c r="F278" s="100">
        <v>21.655800796765021</v>
      </c>
      <c r="H278" s="81">
        <f t="shared" ref="H278:H309" si="38">IF(E278&lt;&gt;"",E278,"")</f>
        <v>430</v>
      </c>
      <c r="I278" s="117">
        <f t="shared" ref="I278:I309" si="39">IF(F278&lt;&gt;"",F278/100,"")</f>
        <v>0.21655800796765021</v>
      </c>
      <c r="J278">
        <f t="shared" si="29"/>
        <v>0.21655800796765021</v>
      </c>
      <c r="K278">
        <f t="shared" si="36"/>
        <v>0.27641868851817702</v>
      </c>
      <c r="L278">
        <f t="shared" ref="L278:L309" si="40">IF(I278&lt;&gt;"",I278*(1/($C$237*(1-I278)+I278)),"")</f>
        <v>0.16488642748459786</v>
      </c>
      <c r="M278">
        <f t="shared" ref="M278:M309" si="41">IF(I278&lt;&gt;"",I278*(1/($C$237*(1-I278))),"")</f>
        <v>0.19744192037012645</v>
      </c>
      <c r="N278">
        <f t="shared" si="30"/>
        <v>0.17800878096181072</v>
      </c>
      <c r="O278">
        <f t="shared" si="31"/>
        <v>0.21655800796765021</v>
      </c>
      <c r="P278">
        <f t="shared" ref="P278:P309" si="42">IF(I278&lt;&gt;"",I278*(1/($C$237+I278)),"")</f>
        <v>0.13396241081376889</v>
      </c>
      <c r="Q278">
        <f t="shared" ref="Q278:Q309" si="43">IF(I278&lt;&gt;"",I278*(1/$C$237),"")</f>
        <v>0.15468429140546444</v>
      </c>
      <c r="R278">
        <f t="shared" ref="R278:R309" si="44">IF(I278&lt;&gt;"",I278*($C$237/(1+($C$237-1)*I278)),"")</f>
        <v>0.27901227423220987</v>
      </c>
      <c r="S278">
        <f t="shared" ref="S278:S309" si="45">IF(I278&lt;&gt;"",I278*($C$237/(1-I278)),"")</f>
        <v>0.38698616392544782</v>
      </c>
      <c r="T278">
        <f t="shared" si="32"/>
        <v>0.21655800796765021</v>
      </c>
      <c r="U278">
        <f t="shared" si="33"/>
        <v>0.27641868851817697</v>
      </c>
      <c r="V278">
        <f t="shared" ref="V278:V309" si="46">IF(I278&lt;&gt;"",I278*($C$237/(1+$C$237*I278)),"")</f>
        <v>0.23264700914930347</v>
      </c>
      <c r="W278">
        <f t="shared" ref="W278:W309" si="47">IF(I278&lt;&gt;"",I278*$C$237,"")</f>
        <v>0.30318121115471025</v>
      </c>
      <c r="X278">
        <f t="shared" si="34"/>
        <v>0.17800878096181072</v>
      </c>
      <c r="Y278" s="118">
        <f t="shared" si="35"/>
        <v>0.21655800796765021</v>
      </c>
    </row>
    <row r="279" spans="2:25" outlineLevel="1" x14ac:dyDescent="0.25">
      <c r="B279" s="115">
        <v>330</v>
      </c>
      <c r="C279" s="116">
        <f t="shared" si="37"/>
        <v>13.503661157014999</v>
      </c>
      <c r="E279" s="115">
        <v>440</v>
      </c>
      <c r="F279" s="100">
        <v>22.574738558720028</v>
      </c>
      <c r="H279" s="81">
        <f t="shared" si="38"/>
        <v>440</v>
      </c>
      <c r="I279" s="117">
        <f t="shared" si="39"/>
        <v>0.22574738558720028</v>
      </c>
      <c r="J279">
        <f t="shared" si="29"/>
        <v>0.22574738558720028</v>
      </c>
      <c r="K279">
        <f t="shared" si="36"/>
        <v>0.29156812826316275</v>
      </c>
      <c r="L279">
        <f t="shared" si="40"/>
        <v>0.17236558397593701</v>
      </c>
      <c r="M279">
        <f t="shared" si="41"/>
        <v>0.20826294875940199</v>
      </c>
      <c r="N279">
        <f t="shared" si="30"/>
        <v>0.18417121524518276</v>
      </c>
      <c r="O279">
        <f t="shared" si="31"/>
        <v>0.22574738558720028</v>
      </c>
      <c r="P279">
        <f t="shared" si="42"/>
        <v>0.13885760333279765</v>
      </c>
      <c r="Q279">
        <f t="shared" si="43"/>
        <v>0.16124813256228593</v>
      </c>
      <c r="R279">
        <f t="shared" si="44"/>
        <v>0.28987126750375242</v>
      </c>
      <c r="S279">
        <f t="shared" si="45"/>
        <v>0.40819537956842783</v>
      </c>
      <c r="T279">
        <f t="shared" si="32"/>
        <v>0.22574738558720028</v>
      </c>
      <c r="U279">
        <f t="shared" si="33"/>
        <v>0.29156812826316275</v>
      </c>
      <c r="V279">
        <f t="shared" si="46"/>
        <v>0.24014833692315687</v>
      </c>
      <c r="W279">
        <f t="shared" si="47"/>
        <v>0.31604633982208036</v>
      </c>
      <c r="X279">
        <f t="shared" si="34"/>
        <v>0.18417121524518276</v>
      </c>
      <c r="Y279" s="118">
        <f t="shared" si="35"/>
        <v>0.22574738558720028</v>
      </c>
    </row>
    <row r="280" spans="2:25" outlineLevel="1" x14ac:dyDescent="0.25">
      <c r="B280" s="115">
        <v>340</v>
      </c>
      <c r="C280" s="116">
        <f t="shared" si="37"/>
        <v>14.220471370720009</v>
      </c>
      <c r="E280" s="115">
        <v>450</v>
      </c>
      <c r="F280" s="100">
        <v>23.509365546875031</v>
      </c>
      <c r="H280" s="81">
        <f t="shared" si="38"/>
        <v>450</v>
      </c>
      <c r="I280" s="117">
        <f t="shared" si="39"/>
        <v>0.2350936554687503</v>
      </c>
      <c r="J280">
        <f t="shared" si="29"/>
        <v>0.2350936554687503</v>
      </c>
      <c r="K280">
        <f t="shared" si="36"/>
        <v>0.30734959534532363</v>
      </c>
      <c r="L280">
        <f t="shared" si="40"/>
        <v>0.18001561963832016</v>
      </c>
      <c r="M280">
        <f t="shared" si="41"/>
        <v>0.21953542524665973</v>
      </c>
      <c r="N280">
        <f t="shared" si="30"/>
        <v>0.19034480051597877</v>
      </c>
      <c r="O280">
        <f t="shared" si="31"/>
        <v>0.2350936554687503</v>
      </c>
      <c r="P280">
        <f t="shared" si="42"/>
        <v>0.14377993253319388</v>
      </c>
      <c r="Q280">
        <f t="shared" si="43"/>
        <v>0.16792403962053593</v>
      </c>
      <c r="R280">
        <f t="shared" si="44"/>
        <v>0.30084081124439838</v>
      </c>
      <c r="S280">
        <f t="shared" si="45"/>
        <v>0.43028943348345305</v>
      </c>
      <c r="T280">
        <f t="shared" si="32"/>
        <v>0.2350936554687503</v>
      </c>
      <c r="U280">
        <f t="shared" si="33"/>
        <v>0.30734959534532363</v>
      </c>
      <c r="V280">
        <f t="shared" si="46"/>
        <v>0.24762878039950662</v>
      </c>
      <c r="W280">
        <f t="shared" si="47"/>
        <v>0.32913111765625042</v>
      </c>
      <c r="X280">
        <f t="shared" si="34"/>
        <v>0.19034480051597877</v>
      </c>
      <c r="Y280" s="118">
        <f t="shared" si="35"/>
        <v>0.2350936554687503</v>
      </c>
    </row>
    <row r="281" spans="2:25" outlineLevel="1" x14ac:dyDescent="0.25">
      <c r="B281" s="115">
        <v>350</v>
      </c>
      <c r="C281" s="116">
        <f t="shared" si="37"/>
        <v>14.961276453124999</v>
      </c>
      <c r="E281" s="115">
        <v>460</v>
      </c>
      <c r="F281" s="100">
        <v>24.459357506080096</v>
      </c>
      <c r="H281" s="81">
        <f t="shared" si="38"/>
        <v>460</v>
      </c>
      <c r="I281" s="117">
        <f t="shared" si="39"/>
        <v>0.24459357506080096</v>
      </c>
      <c r="J281">
        <f t="shared" si="29"/>
        <v>0.24459357506080096</v>
      </c>
      <c r="K281">
        <f t="shared" si="36"/>
        <v>0.32379069992750953</v>
      </c>
      <c r="L281">
        <f t="shared" si="40"/>
        <v>0.1878364350968629</v>
      </c>
      <c r="M281">
        <f t="shared" si="41"/>
        <v>0.23127907137679254</v>
      </c>
      <c r="N281">
        <f t="shared" si="30"/>
        <v>0.19652485756151525</v>
      </c>
      <c r="O281">
        <f t="shared" si="31"/>
        <v>0.24459357506080096</v>
      </c>
      <c r="P281">
        <f t="shared" si="42"/>
        <v>0.14872584860472796</v>
      </c>
      <c r="Q281">
        <f t="shared" si="43"/>
        <v>0.17470969647200069</v>
      </c>
      <c r="R281">
        <f t="shared" si="44"/>
        <v>0.31191412837648969</v>
      </c>
      <c r="S281">
        <f t="shared" si="45"/>
        <v>0.45330697989851332</v>
      </c>
      <c r="T281">
        <f t="shared" si="32"/>
        <v>0.24459357506080096</v>
      </c>
      <c r="U281">
        <f t="shared" si="33"/>
        <v>0.32379069992750953</v>
      </c>
      <c r="V281">
        <f t="shared" si="46"/>
        <v>0.25508275940290004</v>
      </c>
      <c r="W281">
        <f t="shared" si="47"/>
        <v>0.34243100508512131</v>
      </c>
      <c r="X281">
        <f t="shared" si="34"/>
        <v>0.19652485756151525</v>
      </c>
      <c r="Y281" s="118">
        <f t="shared" si="35"/>
        <v>0.24459357506080096</v>
      </c>
    </row>
    <row r="282" spans="2:25" outlineLevel="1" x14ac:dyDescent="0.25">
      <c r="B282" s="115">
        <v>360</v>
      </c>
      <c r="C282" s="116">
        <f t="shared" si="37"/>
        <v>15.725481486079985</v>
      </c>
      <c r="E282" s="115">
        <v>470</v>
      </c>
      <c r="F282" s="100">
        <v>25.424655543785093</v>
      </c>
      <c r="H282" s="81">
        <f t="shared" si="38"/>
        <v>470</v>
      </c>
      <c r="I282" s="117">
        <f t="shared" si="39"/>
        <v>0.25424655543785091</v>
      </c>
      <c r="J282">
        <f t="shared" si="29"/>
        <v>0.25424655543785091</v>
      </c>
      <c r="K282">
        <f t="shared" si="36"/>
        <v>0.34092575407026859</v>
      </c>
      <c r="L282">
        <f t="shared" si="40"/>
        <v>0.1958301514428098</v>
      </c>
      <c r="M282">
        <f t="shared" si="41"/>
        <v>0.24351839576447756</v>
      </c>
      <c r="N282">
        <f t="shared" si="30"/>
        <v>0.20270859372549341</v>
      </c>
      <c r="O282">
        <f t="shared" si="31"/>
        <v>0.25424655543785091</v>
      </c>
      <c r="P282">
        <f t="shared" si="42"/>
        <v>0.15369326573604755</v>
      </c>
      <c r="Q282">
        <f t="shared" si="43"/>
        <v>0.18160468245560779</v>
      </c>
      <c r="R282">
        <f t="shared" si="44"/>
        <v>0.32308761257251128</v>
      </c>
      <c r="S282">
        <f t="shared" si="45"/>
        <v>0.47729605569837602</v>
      </c>
      <c r="T282">
        <f t="shared" si="32"/>
        <v>0.25424655543785091</v>
      </c>
      <c r="U282">
        <f t="shared" si="33"/>
        <v>0.34092575407026859</v>
      </c>
      <c r="V282">
        <f t="shared" si="46"/>
        <v>0.26250705669354413</v>
      </c>
      <c r="W282">
        <f t="shared" si="47"/>
        <v>0.35594517761299127</v>
      </c>
      <c r="X282">
        <f t="shared" si="34"/>
        <v>0.20270859372549341</v>
      </c>
      <c r="Y282" s="118">
        <f t="shared" si="35"/>
        <v>0.25424655543785091</v>
      </c>
    </row>
    <row r="283" spans="2:25" outlineLevel="1" x14ac:dyDescent="0.25">
      <c r="B283" s="115">
        <v>370</v>
      </c>
      <c r="C283" s="116">
        <f t="shared" si="37"/>
        <v>16.512323648034961</v>
      </c>
      <c r="E283" s="115">
        <v>480</v>
      </c>
      <c r="F283" s="100">
        <v>26.405509456640075</v>
      </c>
      <c r="H283" s="81">
        <f t="shared" si="38"/>
        <v>480</v>
      </c>
      <c r="I283" s="117">
        <f t="shared" si="39"/>
        <v>0.26405509456640075</v>
      </c>
      <c r="J283">
        <f t="shared" si="29"/>
        <v>0.26405509456640075</v>
      </c>
      <c r="K283">
        <f t="shared" si="36"/>
        <v>0.3587973673257871</v>
      </c>
      <c r="L283">
        <f t="shared" si="40"/>
        <v>0.2040015376366697</v>
      </c>
      <c r="M283">
        <f t="shared" si="41"/>
        <v>0.25628383380413366</v>
      </c>
      <c r="N283">
        <f t="shared" si="30"/>
        <v>0.20889524175129212</v>
      </c>
      <c r="O283">
        <f t="shared" si="31"/>
        <v>0.26405509456640075</v>
      </c>
      <c r="P283">
        <f t="shared" si="42"/>
        <v>0.15868170196324241</v>
      </c>
      <c r="Q283">
        <f t="shared" si="43"/>
        <v>0.18861078183314339</v>
      </c>
      <c r="R283">
        <f t="shared" si="44"/>
        <v>0.33436121906512917</v>
      </c>
      <c r="S283">
        <f t="shared" si="45"/>
        <v>0.5023163142561019</v>
      </c>
      <c r="T283">
        <f t="shared" si="32"/>
        <v>0.26405509456640075</v>
      </c>
      <c r="U283">
        <f t="shared" si="33"/>
        <v>0.3587973673257871</v>
      </c>
      <c r="V283">
        <f t="shared" si="46"/>
        <v>0.26990093040912394</v>
      </c>
      <c r="W283">
        <f t="shared" si="47"/>
        <v>0.36967713239296102</v>
      </c>
      <c r="X283">
        <f t="shared" si="34"/>
        <v>0.20889524175129212</v>
      </c>
      <c r="Y283" s="118">
        <f t="shared" si="35"/>
        <v>0.26405509456640075</v>
      </c>
    </row>
    <row r="284" spans="2:25" outlineLevel="1" x14ac:dyDescent="0.25">
      <c r="B284" s="115">
        <v>380</v>
      </c>
      <c r="C284" s="116">
        <f t="shared" si="37"/>
        <v>17.320915540640051</v>
      </c>
      <c r="E284" s="115">
        <v>490</v>
      </c>
      <c r="F284" s="100">
        <v>27.402521057095072</v>
      </c>
      <c r="H284" s="81">
        <f t="shared" si="38"/>
        <v>490</v>
      </c>
      <c r="I284" s="117">
        <f t="shared" si="39"/>
        <v>0.27402521057095069</v>
      </c>
      <c r="J284">
        <f t="shared" si="29"/>
        <v>0.27402521057095069</v>
      </c>
      <c r="K284">
        <f t="shared" si="36"/>
        <v>0.37745830097827604</v>
      </c>
      <c r="L284">
        <f t="shared" si="40"/>
        <v>0.21235845632526565</v>
      </c>
      <c r="M284">
        <f t="shared" si="41"/>
        <v>0.26961307212734009</v>
      </c>
      <c r="N284">
        <f t="shared" si="30"/>
        <v>0.21508617592280385</v>
      </c>
      <c r="O284">
        <f t="shared" si="31"/>
        <v>0.27402521057095069</v>
      </c>
      <c r="P284">
        <f t="shared" si="42"/>
        <v>0.16369240369892066</v>
      </c>
      <c r="Q284">
        <f t="shared" si="43"/>
        <v>0.19573229326496477</v>
      </c>
      <c r="R284">
        <f t="shared" si="44"/>
        <v>0.34573883227287888</v>
      </c>
      <c r="S284">
        <f t="shared" si="45"/>
        <v>0.5284416213695865</v>
      </c>
      <c r="T284">
        <f t="shared" si="32"/>
        <v>0.27402521057095069</v>
      </c>
      <c r="U284">
        <f t="shared" si="33"/>
        <v>0.37745830097827604</v>
      </c>
      <c r="V284">
        <f t="shared" si="46"/>
        <v>0.27726619597035479</v>
      </c>
      <c r="W284">
        <f t="shared" si="47"/>
        <v>0.38363529479933095</v>
      </c>
      <c r="X284">
        <f t="shared" si="34"/>
        <v>0.21508617592280385</v>
      </c>
      <c r="Y284" s="118">
        <f t="shared" si="35"/>
        <v>0.27402521057095069</v>
      </c>
    </row>
    <row r="285" spans="2:25" outlineLevel="1" x14ac:dyDescent="0.25">
      <c r="B285" s="115">
        <v>390</v>
      </c>
      <c r="C285" s="116">
        <f t="shared" si="37"/>
        <v>18.150288515345046</v>
      </c>
      <c r="E285" s="115">
        <v>500</v>
      </c>
      <c r="F285" s="100">
        <v>28.416687499999995</v>
      </c>
      <c r="H285" s="81">
        <f t="shared" si="38"/>
        <v>500</v>
      </c>
      <c r="I285" s="117">
        <f t="shared" si="39"/>
        <v>0.28416687499999993</v>
      </c>
      <c r="J285">
        <f t="shared" si="29"/>
        <v>0.28416687499999993</v>
      </c>
      <c r="K285">
        <f t="shared" si="36"/>
        <v>0.3969736312496015</v>
      </c>
      <c r="L285">
        <f t="shared" si="40"/>
        <v>0.22091232967817626</v>
      </c>
      <c r="M285">
        <f t="shared" si="41"/>
        <v>0.28355259374971536</v>
      </c>
      <c r="N285">
        <f t="shared" si="30"/>
        <v>0.22128500628082309</v>
      </c>
      <c r="O285">
        <f t="shared" si="31"/>
        <v>0.28416687499999993</v>
      </c>
      <c r="P285">
        <f t="shared" si="42"/>
        <v>0.16872845513007725</v>
      </c>
      <c r="Q285">
        <f t="shared" si="43"/>
        <v>0.20297633928571424</v>
      </c>
      <c r="R285">
        <f t="shared" si="44"/>
        <v>0.35722860990507249</v>
      </c>
      <c r="S285">
        <f t="shared" si="45"/>
        <v>0.55576308374944206</v>
      </c>
      <c r="T285">
        <f t="shared" si="32"/>
        <v>0.28416687499999993</v>
      </c>
      <c r="U285">
        <f t="shared" si="33"/>
        <v>0.3969736312496015</v>
      </c>
      <c r="V285">
        <f t="shared" si="46"/>
        <v>0.28460727935343511</v>
      </c>
      <c r="W285">
        <f t="shared" si="47"/>
        <v>0.39783362499999986</v>
      </c>
      <c r="X285">
        <f t="shared" si="34"/>
        <v>0.22128500628082309</v>
      </c>
      <c r="Y285" s="118">
        <f t="shared" si="35"/>
        <v>0.28416687499999993</v>
      </c>
    </row>
    <row r="286" spans="2:25" outlineLevel="1" x14ac:dyDescent="0.25">
      <c r="B286" s="115">
        <v>400</v>
      </c>
      <c r="C286" s="116">
        <f t="shared" si="37"/>
        <v>18.999436000000046</v>
      </c>
      <c r="E286" s="115">
        <v>510</v>
      </c>
      <c r="F286" s="100">
        <v>29.449444609205102</v>
      </c>
      <c r="H286" s="81">
        <f t="shared" si="38"/>
        <v>510</v>
      </c>
      <c r="I286" s="117">
        <f t="shared" si="39"/>
        <v>0.294494446092051</v>
      </c>
      <c r="J286">
        <f t="shared" si="29"/>
        <v>0.294494446092051</v>
      </c>
      <c r="K286">
        <f t="shared" si="36"/>
        <v>0.41742328527505146</v>
      </c>
      <c r="L286">
        <f t="shared" si="40"/>
        <v>0.22967862723948648</v>
      </c>
      <c r="M286">
        <f t="shared" si="41"/>
        <v>0.29815948948217963</v>
      </c>
      <c r="N286">
        <f t="shared" si="30"/>
        <v>0.22749765128857849</v>
      </c>
      <c r="O286">
        <f t="shared" si="31"/>
        <v>0.294494446092051</v>
      </c>
      <c r="P286">
        <f t="shared" si="42"/>
        <v>0.17379487243008229</v>
      </c>
      <c r="Q286">
        <f t="shared" si="43"/>
        <v>0.21035317578003643</v>
      </c>
      <c r="R286">
        <f t="shared" si="44"/>
        <v>0.36884330286059414</v>
      </c>
      <c r="S286">
        <f t="shared" si="45"/>
        <v>0.58439259938507204</v>
      </c>
      <c r="T286">
        <f t="shared" si="32"/>
        <v>0.294494446092051</v>
      </c>
      <c r="U286">
        <f t="shared" si="33"/>
        <v>0.41742328527505146</v>
      </c>
      <c r="V286">
        <f t="shared" si="46"/>
        <v>0.29193124295958545</v>
      </c>
      <c r="W286">
        <f t="shared" si="47"/>
        <v>0.41229222452887138</v>
      </c>
      <c r="X286">
        <f t="shared" si="34"/>
        <v>0.22749765128857849</v>
      </c>
      <c r="Y286" s="118">
        <f t="shared" si="35"/>
        <v>0.294494446092051</v>
      </c>
    </row>
    <row r="287" spans="2:25" outlineLevel="1" x14ac:dyDescent="0.25">
      <c r="B287" s="115">
        <v>410</v>
      </c>
      <c r="C287" s="116">
        <f t="shared" si="37"/>
        <v>19.867356825455012</v>
      </c>
      <c r="E287" s="115">
        <v>520</v>
      </c>
      <c r="F287" s="100">
        <v>30.502710204160167</v>
      </c>
      <c r="H287" s="81">
        <f t="shared" si="38"/>
        <v>520</v>
      </c>
      <c r="I287" s="117">
        <f t="shared" si="39"/>
        <v>0.30502710204160166</v>
      </c>
      <c r="J287">
        <f t="shared" si="29"/>
        <v>0.30502710204160166</v>
      </c>
      <c r="K287">
        <f t="shared" si="36"/>
        <v>0.43890503203458853</v>
      </c>
      <c r="L287">
        <f t="shared" si="40"/>
        <v>0.23867737832495803</v>
      </c>
      <c r="M287">
        <f t="shared" si="41"/>
        <v>0.31350359431042041</v>
      </c>
      <c r="N287">
        <f t="shared" si="30"/>
        <v>0.23373238882503911</v>
      </c>
      <c r="O287">
        <f t="shared" si="31"/>
        <v>0.30502710204160166</v>
      </c>
      <c r="P287">
        <f t="shared" si="42"/>
        <v>0.17889868241763535</v>
      </c>
      <c r="Q287">
        <f t="shared" si="43"/>
        <v>0.21787650145828691</v>
      </c>
      <c r="R287">
        <f t="shared" si="44"/>
        <v>0.38060054976601509</v>
      </c>
      <c r="S287">
        <f t="shared" si="45"/>
        <v>0.61446704484842396</v>
      </c>
      <c r="T287">
        <f t="shared" si="32"/>
        <v>0.30502710204160166</v>
      </c>
      <c r="U287">
        <f t="shared" si="33"/>
        <v>0.43890503203458858</v>
      </c>
      <c r="V287">
        <f t="shared" si="46"/>
        <v>0.29924778454237849</v>
      </c>
      <c r="W287">
        <f t="shared" si="47"/>
        <v>0.42703794285824231</v>
      </c>
      <c r="X287">
        <f t="shared" si="34"/>
        <v>0.23373238882503911</v>
      </c>
      <c r="Y287" s="118">
        <f t="shared" si="35"/>
        <v>0.30502710204160166</v>
      </c>
    </row>
    <row r="288" spans="2:25" outlineLevel="1" x14ac:dyDescent="0.25">
      <c r="B288" s="115">
        <v>420</v>
      </c>
      <c r="C288" s="116">
        <f t="shared" si="37"/>
        <v>20.753098552160033</v>
      </c>
      <c r="E288" s="115">
        <v>530</v>
      </c>
      <c r="F288" s="100">
        <v>31.578927426515122</v>
      </c>
      <c r="H288" s="81">
        <f t="shared" si="38"/>
        <v>530</v>
      </c>
      <c r="I288" s="117">
        <f t="shared" si="39"/>
        <v>0.31578927426515124</v>
      </c>
      <c r="J288">
        <f t="shared" si="29"/>
        <v>0.31578927426515124</v>
      </c>
      <c r="K288">
        <f t="shared" si="36"/>
        <v>0.46153803556059514</v>
      </c>
      <c r="L288">
        <f t="shared" si="40"/>
        <v>0.24793371220137589</v>
      </c>
      <c r="M288">
        <f t="shared" si="41"/>
        <v>0.32967002540042512</v>
      </c>
      <c r="N288">
        <f t="shared" si="30"/>
        <v>0.23999988481553394</v>
      </c>
      <c r="O288">
        <f t="shared" si="31"/>
        <v>0.31578927426515124</v>
      </c>
      <c r="P288">
        <f t="shared" si="42"/>
        <v>0.18404898492001556</v>
      </c>
      <c r="Q288">
        <f t="shared" si="43"/>
        <v>0.22556376733225089</v>
      </c>
      <c r="R288">
        <f t="shared" si="44"/>
        <v>0.39252314440911934</v>
      </c>
      <c r="S288">
        <f t="shared" si="45"/>
        <v>0.64615324978483324</v>
      </c>
      <c r="T288">
        <f t="shared" si="32"/>
        <v>0.31578927426515124</v>
      </c>
      <c r="U288">
        <f t="shared" si="33"/>
        <v>0.46153803556059514</v>
      </c>
      <c r="V288">
        <f t="shared" si="46"/>
        <v>0.30656920881984645</v>
      </c>
      <c r="W288">
        <f t="shared" si="47"/>
        <v>0.44210498397121173</v>
      </c>
      <c r="X288">
        <f t="shared" si="34"/>
        <v>0.23999988481553394</v>
      </c>
      <c r="Y288" s="118">
        <f t="shared" si="35"/>
        <v>0.31578927426515124</v>
      </c>
    </row>
    <row r="289" spans="2:25" outlineLevel="1" x14ac:dyDescent="0.25">
      <c r="B289" s="115">
        <v>430</v>
      </c>
      <c r="C289" s="116">
        <f t="shared" si="37"/>
        <v>21.655800796765021</v>
      </c>
      <c r="E289" s="115">
        <v>540</v>
      </c>
      <c r="F289" s="100">
        <v>32.681108066720185</v>
      </c>
      <c r="H289" s="81">
        <f t="shared" si="38"/>
        <v>540</v>
      </c>
      <c r="I289" s="117">
        <f t="shared" si="39"/>
        <v>0.32681108066720183</v>
      </c>
      <c r="J289">
        <f t="shared" si="29"/>
        <v>0.32681108066720183</v>
      </c>
      <c r="K289">
        <f t="shared" si="36"/>
        <v>0.48546711225001499</v>
      </c>
      <c r="L289">
        <f t="shared" si="40"/>
        <v>0.25747843019689942</v>
      </c>
      <c r="M289">
        <f t="shared" si="41"/>
        <v>0.34676222303572496</v>
      </c>
      <c r="N289">
        <f t="shared" si="30"/>
        <v>0.24631319818557834</v>
      </c>
      <c r="O289">
        <f t="shared" si="31"/>
        <v>0.32681108066720183</v>
      </c>
      <c r="P289">
        <f t="shared" si="42"/>
        <v>0.18925699766816947</v>
      </c>
      <c r="Q289">
        <f t="shared" si="43"/>
        <v>0.23343648619085844</v>
      </c>
      <c r="R289">
        <f t="shared" si="44"/>
        <v>0.40463927361754581</v>
      </c>
      <c r="S289">
        <f t="shared" si="45"/>
        <v>0.67965395715002086</v>
      </c>
      <c r="T289">
        <f t="shared" si="32"/>
        <v>0.32681108066720183</v>
      </c>
      <c r="U289">
        <f t="shared" si="33"/>
        <v>0.48546711225001499</v>
      </c>
      <c r="V289">
        <f t="shared" si="46"/>
        <v>0.31391037053570214</v>
      </c>
      <c r="W289">
        <f t="shared" si="47"/>
        <v>0.45753551293408251</v>
      </c>
      <c r="X289">
        <f t="shared" si="34"/>
        <v>0.24631319818557834</v>
      </c>
      <c r="Y289" s="118">
        <f t="shared" si="35"/>
        <v>0.32681108066720183</v>
      </c>
    </row>
    <row r="290" spans="2:25" outlineLevel="1" x14ac:dyDescent="0.25">
      <c r="B290" s="115">
        <v>440</v>
      </c>
      <c r="C290" s="116">
        <f t="shared" si="37"/>
        <v>22.574738558720028</v>
      </c>
      <c r="E290" s="115">
        <v>550</v>
      </c>
      <c r="F290" s="100">
        <v>33.812875890625151</v>
      </c>
      <c r="H290" s="81">
        <f t="shared" si="38"/>
        <v>550</v>
      </c>
      <c r="I290" s="117">
        <f t="shared" si="39"/>
        <v>0.33812875890625149</v>
      </c>
      <c r="J290">
        <f t="shared" si="29"/>
        <v>0.33812875890625149</v>
      </c>
      <c r="K290">
        <f t="shared" si="36"/>
        <v>0.51086788171592179</v>
      </c>
      <c r="L290">
        <f t="shared" si="40"/>
        <v>0.26734861504771984</v>
      </c>
      <c r="M290">
        <f t="shared" si="41"/>
        <v>0.36490562979708702</v>
      </c>
      <c r="N290">
        <f t="shared" si="30"/>
        <v>0.25268776016937894</v>
      </c>
      <c r="O290">
        <f t="shared" si="31"/>
        <v>0.33812875890625149</v>
      </c>
      <c r="P290">
        <f t="shared" si="42"/>
        <v>0.19453608207888184</v>
      </c>
      <c r="Q290">
        <f t="shared" si="43"/>
        <v>0.24152054207589393</v>
      </c>
      <c r="R290">
        <f t="shared" si="44"/>
        <v>0.41698272231593697</v>
      </c>
      <c r="S290">
        <f t="shared" si="45"/>
        <v>0.71521503440229051</v>
      </c>
      <c r="T290">
        <f t="shared" si="32"/>
        <v>0.33812875890625149</v>
      </c>
      <c r="U290">
        <f t="shared" si="33"/>
        <v>0.51086788171592179</v>
      </c>
      <c r="V290">
        <f t="shared" si="46"/>
        <v>0.32128858688222839</v>
      </c>
      <c r="W290">
        <f t="shared" si="47"/>
        <v>0.47338026246875203</v>
      </c>
      <c r="X290">
        <f t="shared" si="34"/>
        <v>0.25268776016937894</v>
      </c>
      <c r="Y290" s="118">
        <f t="shared" si="35"/>
        <v>0.33812875890625149</v>
      </c>
    </row>
    <row r="291" spans="2:25" outlineLevel="1" x14ac:dyDescent="0.25">
      <c r="B291" s="115">
        <v>450</v>
      </c>
      <c r="C291" s="116">
        <f t="shared" si="37"/>
        <v>23.509365546875031</v>
      </c>
      <c r="E291" s="115">
        <v>560</v>
      </c>
      <c r="F291" s="100">
        <v>34.978509966080054</v>
      </c>
      <c r="H291" s="81">
        <f t="shared" si="38"/>
        <v>560</v>
      </c>
      <c r="I291" s="117">
        <f t="shared" si="39"/>
        <v>0.34978509966080051</v>
      </c>
      <c r="J291">
        <f t="shared" si="29"/>
        <v>0.34978509966080051</v>
      </c>
      <c r="K291">
        <f t="shared" si="36"/>
        <v>0.53795306671429266</v>
      </c>
      <c r="L291">
        <f t="shared" si="40"/>
        <v>0.27758828423351162</v>
      </c>
      <c r="M291">
        <f t="shared" si="41"/>
        <v>0.38425219051020904</v>
      </c>
      <c r="N291">
        <f t="shared" si="30"/>
        <v>0.25914132534779138</v>
      </c>
      <c r="O291">
        <f t="shared" si="31"/>
        <v>0.34978509966080051</v>
      </c>
      <c r="P291">
        <f t="shared" si="42"/>
        <v>0.19990174777954567</v>
      </c>
      <c r="Q291">
        <f t="shared" si="43"/>
        <v>0.24984649975771467</v>
      </c>
      <c r="R291">
        <f t="shared" si="44"/>
        <v>0.4295930415800544</v>
      </c>
      <c r="S291">
        <f t="shared" si="45"/>
        <v>0.7531342934000097</v>
      </c>
      <c r="T291">
        <f t="shared" si="32"/>
        <v>0.34978509966080051</v>
      </c>
      <c r="U291">
        <f t="shared" si="33"/>
        <v>0.53795306671429266</v>
      </c>
      <c r="V291">
        <f t="shared" si="46"/>
        <v>0.32872351640159009</v>
      </c>
      <c r="W291">
        <f t="shared" si="47"/>
        <v>0.48969913952512067</v>
      </c>
      <c r="X291">
        <f t="shared" si="34"/>
        <v>0.25914132534779138</v>
      </c>
      <c r="Y291" s="118">
        <f t="shared" si="35"/>
        <v>0.34978509966080051</v>
      </c>
    </row>
    <row r="292" spans="2:25" outlineLevel="1" x14ac:dyDescent="0.25">
      <c r="B292" s="115">
        <v>460</v>
      </c>
      <c r="C292" s="116">
        <f t="shared" si="37"/>
        <v>24.459357506080096</v>
      </c>
      <c r="E292" s="115">
        <v>570</v>
      </c>
      <c r="F292" s="100">
        <v>36.182987989535064</v>
      </c>
      <c r="H292" s="81">
        <f t="shared" si="38"/>
        <v>570</v>
      </c>
      <c r="I292" s="117">
        <f t="shared" si="39"/>
        <v>0.36182987989535065</v>
      </c>
      <c r="J292">
        <f t="shared" si="29"/>
        <v>0.36182987989535065</v>
      </c>
      <c r="K292">
        <f t="shared" si="36"/>
        <v>0.56698029020226848</v>
      </c>
      <c r="L292">
        <f t="shared" si="40"/>
        <v>0.28824909584831926</v>
      </c>
      <c r="M292">
        <f t="shared" si="41"/>
        <v>0.40498592157304897</v>
      </c>
      <c r="N292">
        <f t="shared" si="30"/>
        <v>0.26569389116587405</v>
      </c>
      <c r="O292">
        <f t="shared" si="31"/>
        <v>0.36182987989535065</v>
      </c>
      <c r="P292">
        <f t="shared" si="42"/>
        <v>0.20537163322309115</v>
      </c>
      <c r="Q292">
        <f t="shared" si="43"/>
        <v>0.25844991421096475</v>
      </c>
      <c r="R292">
        <f t="shared" si="44"/>
        <v>0.44251567450963791</v>
      </c>
      <c r="S292">
        <f t="shared" si="45"/>
        <v>0.7937724062831758</v>
      </c>
      <c r="T292">
        <f t="shared" si="32"/>
        <v>0.36182987989535065</v>
      </c>
      <c r="U292">
        <f t="shared" si="33"/>
        <v>0.56698029020226848</v>
      </c>
      <c r="V292">
        <f t="shared" si="46"/>
        <v>0.33623700079423796</v>
      </c>
      <c r="W292">
        <f t="shared" si="47"/>
        <v>0.50656183185349091</v>
      </c>
      <c r="X292">
        <f t="shared" si="34"/>
        <v>0.26569389116587405</v>
      </c>
      <c r="Y292" s="118">
        <f t="shared" si="35"/>
        <v>0.36182987989535065</v>
      </c>
    </row>
    <row r="293" spans="2:25" outlineLevel="1" x14ac:dyDescent="0.25">
      <c r="B293" s="115">
        <v>470</v>
      </c>
      <c r="C293" s="116">
        <f t="shared" si="37"/>
        <v>25.424655543785093</v>
      </c>
      <c r="E293" s="115">
        <v>580</v>
      </c>
      <c r="F293" s="100">
        <v>37.43202961263998</v>
      </c>
      <c r="H293" s="81">
        <f t="shared" si="38"/>
        <v>580</v>
      </c>
      <c r="I293" s="117">
        <f t="shared" si="39"/>
        <v>0.37432029612639978</v>
      </c>
      <c r="J293">
        <f t="shared" si="29"/>
        <v>0.37432029612639978</v>
      </c>
      <c r="K293">
        <f t="shared" si="36"/>
        <v>0.59826184836901786</v>
      </c>
      <c r="L293">
        <f t="shared" si="40"/>
        <v>0.29939111776433075</v>
      </c>
      <c r="M293">
        <f t="shared" si="41"/>
        <v>0.42732989169215557</v>
      </c>
      <c r="N293">
        <f t="shared" si="30"/>
        <v>0.27236758212873874</v>
      </c>
      <c r="O293">
        <f t="shared" si="31"/>
        <v>0.37432029612639978</v>
      </c>
      <c r="P293">
        <f t="shared" si="42"/>
        <v>0.21096545924858981</v>
      </c>
      <c r="Q293">
        <f t="shared" si="43"/>
        <v>0.26737164009028558</v>
      </c>
      <c r="R293">
        <f t="shared" si="44"/>
        <v>0.45580203368705779</v>
      </c>
      <c r="S293">
        <f t="shared" si="45"/>
        <v>0.83756658771662496</v>
      </c>
      <c r="T293">
        <f t="shared" si="32"/>
        <v>0.37432029612639978</v>
      </c>
      <c r="U293">
        <f t="shared" si="33"/>
        <v>0.59826184836901786</v>
      </c>
      <c r="V293">
        <f t="shared" si="46"/>
        <v>0.34385286554195416</v>
      </c>
      <c r="W293">
        <f t="shared" si="47"/>
        <v>0.52404841457695961</v>
      </c>
      <c r="X293">
        <f t="shared" si="34"/>
        <v>0.27236758212873874</v>
      </c>
      <c r="Y293" s="118">
        <f t="shared" si="35"/>
        <v>0.37432029612639978</v>
      </c>
    </row>
    <row r="294" spans="2:25" outlineLevel="1" x14ac:dyDescent="0.25">
      <c r="B294" s="115">
        <v>480</v>
      </c>
      <c r="C294" s="116">
        <f t="shared" si="37"/>
        <v>26.405509456640075</v>
      </c>
      <c r="E294" s="115">
        <v>590</v>
      </c>
      <c r="F294" s="100">
        <v>38.732139768845002</v>
      </c>
      <c r="H294" s="81">
        <f t="shared" si="38"/>
        <v>590</v>
      </c>
      <c r="I294" s="117">
        <f t="shared" si="39"/>
        <v>0.38732139768845003</v>
      </c>
      <c r="J294">
        <f t="shared" si="29"/>
        <v>0.38732139768845003</v>
      </c>
      <c r="K294">
        <f t="shared" si="36"/>
        <v>0.63217712553880778</v>
      </c>
      <c r="L294">
        <f t="shared" si="40"/>
        <v>0.31108367356078448</v>
      </c>
      <c r="M294">
        <f t="shared" si="41"/>
        <v>0.451555089670577</v>
      </c>
      <c r="N294">
        <f t="shared" si="30"/>
        <v>0.27918649444447663</v>
      </c>
      <c r="O294">
        <f t="shared" si="31"/>
        <v>0.38732139768845003</v>
      </c>
      <c r="P294">
        <f t="shared" si="42"/>
        <v>0.21670495199653203</v>
      </c>
      <c r="Q294">
        <f t="shared" si="43"/>
        <v>0.27665814120603577</v>
      </c>
      <c r="R294">
        <f t="shared" si="44"/>
        <v>0.46950952290758829</v>
      </c>
      <c r="S294">
        <f t="shared" si="45"/>
        <v>0.88504797575433081</v>
      </c>
      <c r="T294">
        <f t="shared" si="32"/>
        <v>0.38732139768845003</v>
      </c>
      <c r="U294">
        <f t="shared" si="33"/>
        <v>0.63217712553880767</v>
      </c>
      <c r="V294">
        <f t="shared" si="46"/>
        <v>0.35159667496548785</v>
      </c>
      <c r="W294">
        <f t="shared" si="47"/>
        <v>0.54224995676383003</v>
      </c>
      <c r="X294">
        <f t="shared" si="34"/>
        <v>0.27918649444447663</v>
      </c>
      <c r="Y294" s="118">
        <f t="shared" si="35"/>
        <v>0.38732139768845003</v>
      </c>
    </row>
    <row r="295" spans="2:25" outlineLevel="1" x14ac:dyDescent="0.25">
      <c r="B295" s="115">
        <v>490</v>
      </c>
      <c r="C295" s="116">
        <f t="shared" si="37"/>
        <v>27.402521057095072</v>
      </c>
      <c r="E295" s="115">
        <v>600</v>
      </c>
      <c r="F295" s="100">
        <v>40.090652000000148</v>
      </c>
      <c r="H295" s="81">
        <f t="shared" si="38"/>
        <v>600</v>
      </c>
      <c r="I295" s="117">
        <f t="shared" si="39"/>
        <v>0.40090652000000149</v>
      </c>
      <c r="J295">
        <f t="shared" si="29"/>
        <v>0.40090652000000149</v>
      </c>
      <c r="K295">
        <f t="shared" si="36"/>
        <v>0.66918858806475823</v>
      </c>
      <c r="L295">
        <f t="shared" si="40"/>
        <v>0.32340628202025201</v>
      </c>
      <c r="M295">
        <f t="shared" si="41"/>
        <v>0.47799184861768451</v>
      </c>
      <c r="N295">
        <f t="shared" si="30"/>
        <v>0.28617649663019701</v>
      </c>
      <c r="O295">
        <f t="shared" si="31"/>
        <v>0.40090652000000149</v>
      </c>
      <c r="P295">
        <f t="shared" si="42"/>
        <v>0.22261373122242969</v>
      </c>
      <c r="Q295">
        <f t="shared" si="43"/>
        <v>0.28636180000000105</v>
      </c>
      <c r="R295">
        <f t="shared" si="44"/>
        <v>0.48370149480032343</v>
      </c>
      <c r="S295">
        <f t="shared" si="45"/>
        <v>0.93686402329066143</v>
      </c>
      <c r="T295">
        <f t="shared" si="32"/>
        <v>0.40090652000000149</v>
      </c>
      <c r="U295">
        <f t="shared" si="33"/>
        <v>0.66918858806475823</v>
      </c>
      <c r="V295">
        <f t="shared" si="46"/>
        <v>0.35949543735550077</v>
      </c>
      <c r="W295">
        <f t="shared" si="47"/>
        <v>0.56126912800000206</v>
      </c>
      <c r="X295">
        <f t="shared" si="34"/>
        <v>0.28617649663019701</v>
      </c>
      <c r="Y295" s="118">
        <f t="shared" si="35"/>
        <v>0.40090652000000149</v>
      </c>
    </row>
    <row r="296" spans="2:25" outlineLevel="1" x14ac:dyDescent="0.25">
      <c r="B296" s="115">
        <v>500</v>
      </c>
      <c r="C296" s="116">
        <f t="shared" si="37"/>
        <v>28.416687499999995</v>
      </c>
      <c r="E296" s="115">
        <v>610</v>
      </c>
      <c r="F296" s="100">
        <v>41.515771782955198</v>
      </c>
      <c r="H296" s="81">
        <f t="shared" si="38"/>
        <v>610</v>
      </c>
      <c r="I296" s="117">
        <f t="shared" si="39"/>
        <v>0.41515771782955196</v>
      </c>
      <c r="J296">
        <f t="shared" si="29"/>
        <v>0.41515771782955196</v>
      </c>
      <c r="K296">
        <f t="shared" si="36"/>
        <v>0.70986269373143118</v>
      </c>
      <c r="L296">
        <f t="shared" si="40"/>
        <v>0.3364497110833275</v>
      </c>
      <c r="M296">
        <f t="shared" si="41"/>
        <v>0.50704478123673657</v>
      </c>
      <c r="N296">
        <f t="shared" si="30"/>
        <v>0.29336498158402119</v>
      </c>
      <c r="O296">
        <f t="shared" si="31"/>
        <v>0.41515771782955196</v>
      </c>
      <c r="P296">
        <f t="shared" si="42"/>
        <v>0.22871715981020685</v>
      </c>
      <c r="Q296">
        <f t="shared" si="43"/>
        <v>0.29654122702110858</v>
      </c>
      <c r="R296">
        <f t="shared" si="44"/>
        <v>0.49844713495820236</v>
      </c>
      <c r="S296">
        <f t="shared" si="45"/>
        <v>0.99380777122400354</v>
      </c>
      <c r="T296">
        <f t="shared" si="32"/>
        <v>0.41515771782955196</v>
      </c>
      <c r="U296">
        <f t="shared" si="33"/>
        <v>0.70986269373143118</v>
      </c>
      <c r="V296">
        <f t="shared" si="46"/>
        <v>0.36757725621727527</v>
      </c>
      <c r="W296">
        <f t="shared" si="47"/>
        <v>0.58122080496137274</v>
      </c>
      <c r="X296">
        <f t="shared" si="34"/>
        <v>0.29336498158402119</v>
      </c>
      <c r="Y296" s="118">
        <f t="shared" si="35"/>
        <v>0.41515771782955196</v>
      </c>
    </row>
    <row r="297" spans="2:25" outlineLevel="1" x14ac:dyDescent="0.25">
      <c r="B297" s="115">
        <v>510</v>
      </c>
      <c r="C297" s="116">
        <f t="shared" si="37"/>
        <v>29.449444609205102</v>
      </c>
      <c r="E297" s="115">
        <v>620</v>
      </c>
      <c r="F297" s="100">
        <v>43.016619856160219</v>
      </c>
      <c r="H297" s="81">
        <f t="shared" si="38"/>
        <v>620</v>
      </c>
      <c r="I297" s="117">
        <f t="shared" si="39"/>
        <v>0.43016619856160221</v>
      </c>
      <c r="J297">
        <f t="shared" si="29"/>
        <v>0.43016619856160221</v>
      </c>
      <c r="K297">
        <f t="shared" si="36"/>
        <v>0.75489765169380807</v>
      </c>
      <c r="L297">
        <f t="shared" si="40"/>
        <v>0.3503171721870123</v>
      </c>
      <c r="M297">
        <f t="shared" si="41"/>
        <v>0.53921260835272011</v>
      </c>
      <c r="N297">
        <f t="shared" si="30"/>
        <v>0.30078056591901303</v>
      </c>
      <c r="O297">
        <f t="shared" si="31"/>
        <v>0.43016619856160221</v>
      </c>
      <c r="P297">
        <f t="shared" si="42"/>
        <v>0.23504215021547573</v>
      </c>
      <c r="Q297">
        <f t="shared" si="43"/>
        <v>0.30726157040114443</v>
      </c>
      <c r="R297">
        <f t="shared" si="44"/>
        <v>0.5138212623245354</v>
      </c>
      <c r="S297">
        <f t="shared" si="45"/>
        <v>1.0568567123713311</v>
      </c>
      <c r="T297">
        <f t="shared" si="32"/>
        <v>0.43016619856160221</v>
      </c>
      <c r="U297">
        <f t="shared" si="33"/>
        <v>0.75489765169380807</v>
      </c>
      <c r="V297">
        <f t="shared" si="46"/>
        <v>0.37587092452961063</v>
      </c>
      <c r="W297">
        <f t="shared" si="47"/>
        <v>0.60223267798624303</v>
      </c>
      <c r="X297">
        <f t="shared" si="34"/>
        <v>0.30078056591901303</v>
      </c>
      <c r="Y297" s="118">
        <f t="shared" si="35"/>
        <v>0.43016619856160221</v>
      </c>
    </row>
    <row r="298" spans="2:25" outlineLevel="1" x14ac:dyDescent="0.25">
      <c r="B298" s="115">
        <v>520</v>
      </c>
      <c r="C298" s="116">
        <f t="shared" si="37"/>
        <v>30.502710204160167</v>
      </c>
      <c r="E298" s="115">
        <v>630</v>
      </c>
      <c r="F298" s="100">
        <v>44.603275546265081</v>
      </c>
      <c r="H298" s="81">
        <f t="shared" si="38"/>
        <v>630</v>
      </c>
      <c r="I298" s="117">
        <f t="shared" si="39"/>
        <v>0.44603275546265081</v>
      </c>
      <c r="J298">
        <f t="shared" si="29"/>
        <v>0.44603275546265081</v>
      </c>
      <c r="K298">
        <f t="shared" si="36"/>
        <v>0.80516088245462814</v>
      </c>
      <c r="L298">
        <f t="shared" si="40"/>
        <v>0.36512568713733956</v>
      </c>
      <c r="M298">
        <f t="shared" si="41"/>
        <v>0.5751149160390201</v>
      </c>
      <c r="N298">
        <f t="shared" si="30"/>
        <v>0.30845273302259663</v>
      </c>
      <c r="O298">
        <f t="shared" si="31"/>
        <v>0.44603275546265081</v>
      </c>
      <c r="P298">
        <f t="shared" si="42"/>
        <v>0.24161692372076385</v>
      </c>
      <c r="Q298">
        <f t="shared" si="43"/>
        <v>0.31859482533046485</v>
      </c>
      <c r="R298">
        <f t="shared" si="44"/>
        <v>0.52990403491766924</v>
      </c>
      <c r="S298">
        <f t="shared" si="45"/>
        <v>1.1272252354364793</v>
      </c>
      <c r="T298">
        <f t="shared" si="32"/>
        <v>0.44603275546265081</v>
      </c>
      <c r="U298">
        <f t="shared" si="33"/>
        <v>0.80516088245462814</v>
      </c>
      <c r="V298">
        <f t="shared" si="46"/>
        <v>0.38440546030382555</v>
      </c>
      <c r="W298">
        <f t="shared" si="47"/>
        <v>0.6244458576477111</v>
      </c>
      <c r="X298">
        <f t="shared" si="34"/>
        <v>0.30845273302259663</v>
      </c>
      <c r="Y298" s="118">
        <f t="shared" si="35"/>
        <v>0.44603275546265081</v>
      </c>
    </row>
    <row r="299" spans="2:25" outlineLevel="1" x14ac:dyDescent="0.25">
      <c r="B299" s="115">
        <v>530</v>
      </c>
      <c r="C299" s="116">
        <f t="shared" si="37"/>
        <v>31.578927426515122</v>
      </c>
      <c r="E299" s="115">
        <v>640</v>
      </c>
      <c r="F299" s="100">
        <v>46.286820094720099</v>
      </c>
      <c r="H299" s="81">
        <f t="shared" si="38"/>
        <v>640</v>
      </c>
      <c r="I299" s="117">
        <f t="shared" si="39"/>
        <v>0.46286820094720099</v>
      </c>
      <c r="J299">
        <f t="shared" si="29"/>
        <v>0.46286820094720099</v>
      </c>
      <c r="K299">
        <f t="shared" si="36"/>
        <v>0.86174045506790398</v>
      </c>
      <c r="L299">
        <f t="shared" si="40"/>
        <v>0.38100766740807668</v>
      </c>
      <c r="M299">
        <f t="shared" si="41"/>
        <v>0.61552889647707421</v>
      </c>
      <c r="N299">
        <f t="shared" si="30"/>
        <v>0.31641141741101203</v>
      </c>
      <c r="O299">
        <f t="shared" si="31"/>
        <v>0.46286820094720099</v>
      </c>
      <c r="P299">
        <f t="shared" si="42"/>
        <v>0.24847071881513105</v>
      </c>
      <c r="Q299">
        <f t="shared" si="43"/>
        <v>0.33062014353371499</v>
      </c>
      <c r="R299">
        <f t="shared" si="44"/>
        <v>0.54678054960301381</v>
      </c>
      <c r="S299">
        <f t="shared" si="45"/>
        <v>1.2064366370950654</v>
      </c>
      <c r="T299">
        <f t="shared" si="32"/>
        <v>0.46286820094720099</v>
      </c>
      <c r="U299">
        <f t="shared" si="33"/>
        <v>0.86174045506790387</v>
      </c>
      <c r="V299">
        <f t="shared" si="46"/>
        <v>0.39320958368950121</v>
      </c>
      <c r="W299">
        <f t="shared" si="47"/>
        <v>0.64801548132608133</v>
      </c>
      <c r="X299">
        <f t="shared" si="34"/>
        <v>0.31641141741101203</v>
      </c>
      <c r="Y299" s="118">
        <f t="shared" si="35"/>
        <v>0.46286820094720099</v>
      </c>
    </row>
    <row r="300" spans="2:25" outlineLevel="1" x14ac:dyDescent="0.25">
      <c r="B300" s="115">
        <v>540</v>
      </c>
      <c r="C300" s="116">
        <f t="shared" si="37"/>
        <v>32.681108066720185</v>
      </c>
      <c r="E300" s="115">
        <v>650</v>
      </c>
      <c r="F300" s="100">
        <v>48.079379984375066</v>
      </c>
      <c r="H300" s="81">
        <f t="shared" si="38"/>
        <v>650</v>
      </c>
      <c r="I300" s="117">
        <f t="shared" si="39"/>
        <v>0.48079379984375065</v>
      </c>
      <c r="J300">
        <f t="shared" si="29"/>
        <v>0.48079379984375065</v>
      </c>
      <c r="K300">
        <f t="shared" si="36"/>
        <v>0.92601706162033703</v>
      </c>
      <c r="L300">
        <f t="shared" si="40"/>
        <v>0.39811275544782992</v>
      </c>
      <c r="M300">
        <f t="shared" si="41"/>
        <v>0.66144075830024074</v>
      </c>
      <c r="N300">
        <f t="shared" si="30"/>
        <v>0.32468652954549287</v>
      </c>
      <c r="O300">
        <f t="shared" si="31"/>
        <v>0.48079379984375065</v>
      </c>
      <c r="P300">
        <f t="shared" si="42"/>
        <v>0.25563344577363734</v>
      </c>
      <c r="Q300">
        <f t="shared" si="43"/>
        <v>0.34342414274553618</v>
      </c>
      <c r="R300">
        <f t="shared" si="44"/>
        <v>0.56454032464148851</v>
      </c>
      <c r="S300">
        <f t="shared" si="45"/>
        <v>1.2964238862684716</v>
      </c>
      <c r="T300">
        <f t="shared" si="32"/>
        <v>0.48079379984375065</v>
      </c>
      <c r="U300">
        <f t="shared" si="33"/>
        <v>0.92601706162033703</v>
      </c>
      <c r="V300">
        <f t="shared" si="46"/>
        <v>0.4023111384299618</v>
      </c>
      <c r="W300">
        <f t="shared" si="47"/>
        <v>0.67311131978125083</v>
      </c>
      <c r="X300">
        <f t="shared" si="34"/>
        <v>0.32468652954549287</v>
      </c>
      <c r="Y300" s="118">
        <f t="shared" si="35"/>
        <v>0.48079379984375065</v>
      </c>
    </row>
    <row r="301" spans="2:25" outlineLevel="1" x14ac:dyDescent="0.25">
      <c r="B301" s="115">
        <v>550</v>
      </c>
      <c r="C301" s="116">
        <f t="shared" si="37"/>
        <v>33.812875890625151</v>
      </c>
      <c r="E301" s="115">
        <v>660</v>
      </c>
      <c r="F301" s="100">
        <v>49.994170266080232</v>
      </c>
      <c r="H301" s="81">
        <f t="shared" si="38"/>
        <v>660</v>
      </c>
      <c r="I301" s="117">
        <f t="shared" si="39"/>
        <v>0.49994170266080235</v>
      </c>
      <c r="J301">
        <f t="shared" si="29"/>
        <v>0.49994170266080235</v>
      </c>
      <c r="K301">
        <f t="shared" si="36"/>
        <v>0.99976683782867792</v>
      </c>
      <c r="L301">
        <f t="shared" si="40"/>
        <v>0.41660998979937247</v>
      </c>
      <c r="M301">
        <f t="shared" si="41"/>
        <v>0.71411916987762702</v>
      </c>
      <c r="N301">
        <f t="shared" si="30"/>
        <v>0.33330742239777528</v>
      </c>
      <c r="O301">
        <f t="shared" si="31"/>
        <v>0.49994170266080235</v>
      </c>
      <c r="P301">
        <f t="shared" si="42"/>
        <v>0.2631352856567396</v>
      </c>
      <c r="Q301">
        <f t="shared" si="43"/>
        <v>0.35710121618628737</v>
      </c>
      <c r="R301">
        <f t="shared" si="44"/>
        <v>0.58327665426325603</v>
      </c>
      <c r="S301">
        <f t="shared" si="45"/>
        <v>1.3996735729601488</v>
      </c>
      <c r="T301">
        <f t="shared" si="32"/>
        <v>0.49994170266080235</v>
      </c>
      <c r="U301">
        <f t="shared" si="33"/>
        <v>0.99976683782867781</v>
      </c>
      <c r="V301">
        <f t="shared" si="46"/>
        <v>0.41173646360089017</v>
      </c>
      <c r="W301">
        <f t="shared" si="47"/>
        <v>0.69991838372512327</v>
      </c>
      <c r="X301">
        <f t="shared" si="34"/>
        <v>0.33330742239777528</v>
      </c>
      <c r="Y301" s="118">
        <f t="shared" si="35"/>
        <v>0.49994170266080235</v>
      </c>
    </row>
    <row r="302" spans="2:25" outlineLevel="1" x14ac:dyDescent="0.25">
      <c r="B302" s="115">
        <v>560</v>
      </c>
      <c r="C302" s="116">
        <f t="shared" si="37"/>
        <v>34.978509966080054</v>
      </c>
      <c r="E302" s="115">
        <v>670</v>
      </c>
      <c r="F302" s="100">
        <v>52.045537885284944</v>
      </c>
      <c r="H302" s="81">
        <f t="shared" si="38"/>
        <v>670</v>
      </c>
      <c r="I302" s="117">
        <f t="shared" si="39"/>
        <v>0.52045537885284943</v>
      </c>
      <c r="J302">
        <f t="shared" si="29"/>
        <v>0.52045537885284943</v>
      </c>
      <c r="K302">
        <f t="shared" si="36"/>
        <v>1.0853116809189383</v>
      </c>
      <c r="L302">
        <f t="shared" si="40"/>
        <v>0.43669037137331879</v>
      </c>
      <c r="M302">
        <f t="shared" si="41"/>
        <v>0.77522262922781315</v>
      </c>
      <c r="N302">
        <f t="shared" si="30"/>
        <v>0.34230230369898901</v>
      </c>
      <c r="O302">
        <f t="shared" si="31"/>
        <v>0.52045537885284943</v>
      </c>
      <c r="P302">
        <f t="shared" si="42"/>
        <v>0.2710062335130819</v>
      </c>
      <c r="Q302">
        <f t="shared" si="43"/>
        <v>0.37175384203774958</v>
      </c>
      <c r="R302">
        <f t="shared" si="44"/>
        <v>0.60308582564686097</v>
      </c>
      <c r="S302">
        <f t="shared" si="45"/>
        <v>1.5194363532865136</v>
      </c>
      <c r="T302">
        <f t="shared" si="32"/>
        <v>0.52045537885284943</v>
      </c>
      <c r="U302">
        <f t="shared" si="33"/>
        <v>1.0853116809189385</v>
      </c>
      <c r="V302">
        <f t="shared" si="46"/>
        <v>0.42150972519260232</v>
      </c>
      <c r="W302">
        <f t="shared" si="47"/>
        <v>0.72863753039398915</v>
      </c>
      <c r="X302">
        <f t="shared" si="34"/>
        <v>0.34230230369898901</v>
      </c>
      <c r="Y302" s="118">
        <f t="shared" si="35"/>
        <v>0.52045537885284943</v>
      </c>
    </row>
    <row r="303" spans="2:25" outlineLevel="1" x14ac:dyDescent="0.25">
      <c r="B303" s="115">
        <v>570</v>
      </c>
      <c r="C303" s="116">
        <f t="shared" si="37"/>
        <v>36.182987989535064</v>
      </c>
      <c r="E303" s="115">
        <v>680</v>
      </c>
      <c r="F303" s="100">
        <v>54.249005008640211</v>
      </c>
      <c r="H303" s="81">
        <f t="shared" si="38"/>
        <v>680</v>
      </c>
      <c r="I303" s="117">
        <f t="shared" si="39"/>
        <v>0.54249005008640205</v>
      </c>
      <c r="J303">
        <f t="shared" si="29"/>
        <v>0.54249005008640205</v>
      </c>
      <c r="K303">
        <f t="shared" si="36"/>
        <v>1.1857448131758725</v>
      </c>
      <c r="L303">
        <f t="shared" si="40"/>
        <v>0.45856992814364883</v>
      </c>
      <c r="M303">
        <f t="shared" si="41"/>
        <v>0.84696058083990911</v>
      </c>
      <c r="N303">
        <f t="shared" si="30"/>
        <v>0.35169760093818087</v>
      </c>
      <c r="O303">
        <f t="shared" si="31"/>
        <v>0.54249005008640205</v>
      </c>
      <c r="P303">
        <f t="shared" si="42"/>
        <v>0.27927558756981646</v>
      </c>
      <c r="Q303">
        <f t="shared" si="43"/>
        <v>0.38749289291885863</v>
      </c>
      <c r="R303">
        <f t="shared" si="44"/>
        <v>0.62406619053642798</v>
      </c>
      <c r="S303">
        <f t="shared" si="45"/>
        <v>1.6600427384462217</v>
      </c>
      <c r="T303">
        <f t="shared" si="32"/>
        <v>0.54249005008640205</v>
      </c>
      <c r="U303">
        <f t="shared" si="33"/>
        <v>1.1857448131758725</v>
      </c>
      <c r="V303">
        <f t="shared" si="46"/>
        <v>0.43165222107654938</v>
      </c>
      <c r="W303">
        <f t="shared" si="47"/>
        <v>0.75948607012096281</v>
      </c>
      <c r="X303">
        <f t="shared" si="34"/>
        <v>0.35169760093818087</v>
      </c>
      <c r="Y303" s="118">
        <f t="shared" si="35"/>
        <v>0.54249005008640205</v>
      </c>
    </row>
    <row r="304" spans="2:25" outlineLevel="1" x14ac:dyDescent="0.25">
      <c r="B304" s="115">
        <v>580</v>
      </c>
      <c r="C304" s="116">
        <f t="shared" si="37"/>
        <v>37.43202961263998</v>
      </c>
      <c r="E304" s="115">
        <v>690</v>
      </c>
      <c r="F304" s="100">
        <v>56.621312350595076</v>
      </c>
      <c r="H304" s="81">
        <f t="shared" si="38"/>
        <v>690</v>
      </c>
      <c r="I304" s="117">
        <f t="shared" si="39"/>
        <v>0.56621312350595077</v>
      </c>
      <c r="J304">
        <f t="shared" si="29"/>
        <v>0.56621312350595077</v>
      </c>
      <c r="K304">
        <f t="shared" si="36"/>
        <v>1.3052795144062368</v>
      </c>
      <c r="L304">
        <f t="shared" si="40"/>
        <v>0.48249340131225726</v>
      </c>
      <c r="M304">
        <f t="shared" si="41"/>
        <v>0.93234251029016912</v>
      </c>
      <c r="N304">
        <f t="shared" si="30"/>
        <v>0.36151728970223984</v>
      </c>
      <c r="O304">
        <f t="shared" si="31"/>
        <v>0.56621312350595077</v>
      </c>
      <c r="P304">
        <f t="shared" si="42"/>
        <v>0.28797138862359811</v>
      </c>
      <c r="Q304">
        <f t="shared" si="43"/>
        <v>0.40443794536139344</v>
      </c>
      <c r="R304">
        <f t="shared" si="44"/>
        <v>0.64631708640163654</v>
      </c>
      <c r="S304">
        <f t="shared" si="45"/>
        <v>1.8273913201687315</v>
      </c>
      <c r="T304">
        <f t="shared" si="32"/>
        <v>0.56621312350595077</v>
      </c>
      <c r="U304">
        <f t="shared" si="33"/>
        <v>1.3052795144062368</v>
      </c>
      <c r="V304">
        <f t="shared" si="46"/>
        <v>0.44218167701146532</v>
      </c>
      <c r="W304">
        <f t="shared" si="47"/>
        <v>0.79269837290833101</v>
      </c>
      <c r="X304">
        <f t="shared" si="34"/>
        <v>0.36151728970223984</v>
      </c>
      <c r="Y304" s="118">
        <f t="shared" si="35"/>
        <v>0.56621312350595077</v>
      </c>
    </row>
    <row r="305" spans="2:25" outlineLevel="1" x14ac:dyDescent="0.25">
      <c r="B305" s="115">
        <v>590</v>
      </c>
      <c r="C305" s="116">
        <f t="shared" si="37"/>
        <v>38.732139768845002</v>
      </c>
      <c r="E305" s="115">
        <v>700</v>
      </c>
      <c r="F305" s="100">
        <v>59.18046250000009</v>
      </c>
      <c r="H305" s="81">
        <f t="shared" si="38"/>
        <v>700</v>
      </c>
      <c r="I305" s="117">
        <f t="shared" si="39"/>
        <v>0.59180462500000086</v>
      </c>
      <c r="J305">
        <f t="shared" si="29"/>
        <v>0.59180462500000086</v>
      </c>
      <c r="K305">
        <f t="shared" si="36"/>
        <v>1.4498072767238044</v>
      </c>
      <c r="L305">
        <f t="shared" si="40"/>
        <v>0.50873870965426549</v>
      </c>
      <c r="M305">
        <f t="shared" si="41"/>
        <v>1.0355766262312891</v>
      </c>
      <c r="N305">
        <f t="shared" si="30"/>
        <v>0.37178219971562182</v>
      </c>
      <c r="O305">
        <f t="shared" si="31"/>
        <v>0.59180462500000086</v>
      </c>
      <c r="P305">
        <f t="shared" si="42"/>
        <v>0.29711981665872506</v>
      </c>
      <c r="Q305">
        <f t="shared" si="43"/>
        <v>0.4227175892857149</v>
      </c>
      <c r="R305">
        <f t="shared" si="44"/>
        <v>0.66993760561439164</v>
      </c>
      <c r="S305">
        <f t="shared" si="45"/>
        <v>2.029730187413326</v>
      </c>
      <c r="T305">
        <f t="shared" si="32"/>
        <v>0.59180462500000086</v>
      </c>
      <c r="U305">
        <f t="shared" si="33"/>
        <v>1.4498072767238046</v>
      </c>
      <c r="V305">
        <f t="shared" si="46"/>
        <v>0.45311155530302105</v>
      </c>
      <c r="W305">
        <f t="shared" si="47"/>
        <v>0.82852647500000121</v>
      </c>
      <c r="X305">
        <f t="shared" si="34"/>
        <v>0.37178219971562182</v>
      </c>
      <c r="Y305" s="118">
        <f t="shared" si="35"/>
        <v>0.59180462500000086</v>
      </c>
    </row>
    <row r="306" spans="2:25" outlineLevel="1" x14ac:dyDescent="0.25">
      <c r="B306" s="115">
        <v>600</v>
      </c>
      <c r="C306" s="116">
        <f t="shared" si="37"/>
        <v>40.090652000000148</v>
      </c>
      <c r="E306" s="115">
        <v>710</v>
      </c>
      <c r="F306" s="100">
        <v>61.945763246705269</v>
      </c>
      <c r="H306" s="81">
        <f t="shared" si="38"/>
        <v>710</v>
      </c>
      <c r="I306" s="117">
        <f t="shared" si="39"/>
        <v>0.61945763246705265</v>
      </c>
      <c r="J306">
        <f t="shared" si="29"/>
        <v>0.61945763246705265</v>
      </c>
      <c r="K306">
        <f t="shared" si="36"/>
        <v>1.6278282927680057</v>
      </c>
      <c r="L306">
        <f t="shared" si="40"/>
        <v>0.53762239313771121</v>
      </c>
      <c r="M306">
        <f t="shared" si="41"/>
        <v>1.1627344948342899</v>
      </c>
      <c r="N306">
        <f t="shared" si="30"/>
        <v>0.38250931672931882</v>
      </c>
      <c r="O306">
        <f t="shared" si="31"/>
        <v>0.61945763246705265</v>
      </c>
      <c r="P306">
        <f t="shared" si="42"/>
        <v>0.30674455482896051</v>
      </c>
      <c r="Q306">
        <f t="shared" si="43"/>
        <v>0.44246973747646617</v>
      </c>
      <c r="R306">
        <f t="shared" si="44"/>
        <v>0.69502521562378783</v>
      </c>
      <c r="S306">
        <f t="shared" si="45"/>
        <v>2.2789596098752081</v>
      </c>
      <c r="T306">
        <f t="shared" si="32"/>
        <v>0.61945763246705265</v>
      </c>
      <c r="U306">
        <f t="shared" si="33"/>
        <v>1.6278282927680059</v>
      </c>
      <c r="V306">
        <f t="shared" si="46"/>
        <v>0.46445040117743142</v>
      </c>
      <c r="W306">
        <f t="shared" si="47"/>
        <v>0.86724068545387367</v>
      </c>
      <c r="X306">
        <f t="shared" si="34"/>
        <v>0.38250931672931882</v>
      </c>
      <c r="Y306" s="118">
        <f t="shared" si="35"/>
        <v>0.61945763246705265</v>
      </c>
    </row>
    <row r="307" spans="2:25" outlineLevel="1" x14ac:dyDescent="0.25">
      <c r="B307" s="115">
        <v>610</v>
      </c>
      <c r="C307" s="116">
        <f t="shared" si="37"/>
        <v>41.515771782955198</v>
      </c>
      <c r="E307" s="115">
        <v>720</v>
      </c>
      <c r="F307" s="100">
        <v>64.937870908159994</v>
      </c>
      <c r="H307" s="81">
        <f t="shared" si="38"/>
        <v>720</v>
      </c>
      <c r="I307" s="117">
        <f t="shared" si="39"/>
        <v>0.64937870908159989</v>
      </c>
      <c r="J307">
        <f t="shared" si="29"/>
        <v>0.64937870908159989</v>
      </c>
      <c r="K307">
        <f t="shared" si="36"/>
        <v>1.8520800815622158</v>
      </c>
      <c r="L307">
        <f t="shared" si="40"/>
        <v>0.56950629600502456</v>
      </c>
      <c r="M307">
        <f t="shared" si="41"/>
        <v>1.3229143439730113</v>
      </c>
      <c r="N307">
        <f t="shared" si="30"/>
        <v>0.39371110194770509</v>
      </c>
      <c r="O307">
        <f t="shared" si="31"/>
        <v>0.64937870908159989</v>
      </c>
      <c r="P307">
        <f t="shared" si="42"/>
        <v>0.3168661342112849</v>
      </c>
      <c r="Q307">
        <f t="shared" si="43"/>
        <v>0.46384193505828564</v>
      </c>
      <c r="R307">
        <f t="shared" si="44"/>
        <v>0.72167423855112856</v>
      </c>
      <c r="S307">
        <f t="shared" si="45"/>
        <v>2.5929121141871021</v>
      </c>
      <c r="T307">
        <f t="shared" si="32"/>
        <v>0.64937870908159989</v>
      </c>
      <c r="U307">
        <f t="shared" si="33"/>
        <v>1.852080081562216</v>
      </c>
      <c r="V307">
        <f t="shared" si="46"/>
        <v>0.47620125446851552</v>
      </c>
      <c r="W307">
        <f t="shared" si="47"/>
        <v>0.90913019271423978</v>
      </c>
      <c r="X307">
        <f t="shared" si="34"/>
        <v>0.39371110194770509</v>
      </c>
      <c r="Y307" s="118">
        <f t="shared" si="35"/>
        <v>0.64937870908159989</v>
      </c>
    </row>
    <row r="308" spans="2:25" outlineLevel="1" x14ac:dyDescent="0.25">
      <c r="B308" s="115">
        <v>620</v>
      </c>
      <c r="C308" s="116">
        <f t="shared" si="37"/>
        <v>43.016619856160219</v>
      </c>
      <c r="E308" s="115">
        <v>730</v>
      </c>
      <c r="F308" s="100">
        <v>68.178833656015058</v>
      </c>
      <c r="H308" s="81">
        <f t="shared" si="38"/>
        <v>730</v>
      </c>
      <c r="I308" s="117">
        <f t="shared" si="39"/>
        <v>0.68178833656015059</v>
      </c>
      <c r="J308">
        <f t="shared" si="29"/>
        <v>0.68178833656015059</v>
      </c>
      <c r="K308">
        <f t="shared" si="36"/>
        <v>2.1425623724475047</v>
      </c>
      <c r="L308">
        <f t="shared" si="40"/>
        <v>0.60480582899864088</v>
      </c>
      <c r="M308">
        <f t="shared" si="41"/>
        <v>1.5304016946053605</v>
      </c>
      <c r="N308">
        <f t="shared" si="30"/>
        <v>0.40539485364409644</v>
      </c>
      <c r="O308">
        <f t="shared" si="31"/>
        <v>0.68178833656015059</v>
      </c>
      <c r="P308">
        <f t="shared" si="42"/>
        <v>0.32750127598788731</v>
      </c>
      <c r="Q308">
        <f t="shared" si="43"/>
        <v>0.48699166897153612</v>
      </c>
      <c r="R308">
        <f t="shared" si="44"/>
        <v>0.74997420492788813</v>
      </c>
      <c r="S308">
        <f t="shared" si="45"/>
        <v>2.9995873214265063</v>
      </c>
      <c r="T308">
        <f t="shared" si="32"/>
        <v>0.68178833656015059</v>
      </c>
      <c r="U308">
        <f t="shared" si="33"/>
        <v>2.1425623724475047</v>
      </c>
      <c r="V308">
        <f t="shared" si="46"/>
        <v>0.48836115544663483</v>
      </c>
      <c r="W308">
        <f t="shared" si="47"/>
        <v>0.95450367118421076</v>
      </c>
      <c r="X308">
        <f t="shared" si="34"/>
        <v>0.40539485364409644</v>
      </c>
      <c r="Y308" s="118">
        <f t="shared" si="35"/>
        <v>0.68178833656015059</v>
      </c>
    </row>
    <row r="309" spans="2:25" outlineLevel="1" x14ac:dyDescent="0.25">
      <c r="B309" s="115">
        <v>630</v>
      </c>
      <c r="C309" s="116">
        <f t="shared" si="37"/>
        <v>44.603275546265081</v>
      </c>
      <c r="E309" s="115">
        <v>740</v>
      </c>
      <c r="F309" s="100">
        <v>71.692134842719838</v>
      </c>
      <c r="H309" s="81">
        <f t="shared" si="38"/>
        <v>740</v>
      </c>
      <c r="I309" s="117">
        <f t="shared" si="39"/>
        <v>0.71692134842719835</v>
      </c>
      <c r="J309">
        <f t="shared" si="29"/>
        <v>0.71692134842719835</v>
      </c>
      <c r="K309">
        <f t="shared" si="36"/>
        <v>2.5325871253234431</v>
      </c>
      <c r="L309">
        <f t="shared" si="40"/>
        <v>0.64400025851052078</v>
      </c>
      <c r="M309">
        <f t="shared" si="41"/>
        <v>1.8089908038024596</v>
      </c>
      <c r="N309">
        <f t="shared" si="30"/>
        <v>0.41756213765059225</v>
      </c>
      <c r="O309">
        <f t="shared" si="31"/>
        <v>0.71692134842719835</v>
      </c>
      <c r="P309">
        <f t="shared" si="42"/>
        <v>0.33866225070659661</v>
      </c>
      <c r="Q309">
        <f t="shared" si="43"/>
        <v>0.51208667744799885</v>
      </c>
      <c r="R309">
        <f t="shared" si="44"/>
        <v>0.78000810331343429</v>
      </c>
      <c r="S309">
        <f t="shared" si="45"/>
        <v>3.54562197545282</v>
      </c>
      <c r="T309">
        <f t="shared" si="32"/>
        <v>0.71692134842719835</v>
      </c>
      <c r="U309">
        <f t="shared" si="33"/>
        <v>2.5325871253234431</v>
      </c>
      <c r="V309">
        <f t="shared" si="46"/>
        <v>0.50092077317466854</v>
      </c>
      <c r="W309">
        <f t="shared" si="47"/>
        <v>1.0036898877980776</v>
      </c>
      <c r="X309">
        <f t="shared" si="34"/>
        <v>0.41756213765059225</v>
      </c>
      <c r="Y309" s="118">
        <f t="shared" si="35"/>
        <v>0.71692134842719835</v>
      </c>
    </row>
    <row r="310" spans="2:25" outlineLevel="1" x14ac:dyDescent="0.25">
      <c r="B310" s="115">
        <v>640</v>
      </c>
      <c r="C310" s="116">
        <f t="shared" ref="C310:C341" si="48">$B$235+$C$235*B310+$D$235*B310^2+$E$235*B310^3+$F$235*B310^4+$G$235*B310^5</f>
        <v>46.286820094720099</v>
      </c>
      <c r="E310" s="115">
        <v>750</v>
      </c>
      <c r="F310" s="100">
        <v>75.502736328125252</v>
      </c>
      <c r="H310" s="81">
        <f t="shared" ref="H310:H346" si="49">IF(E310&lt;&gt;"",E310,"")</f>
        <v>750</v>
      </c>
      <c r="I310" s="117">
        <f t="shared" ref="I310:I346" si="50">IF(F310&lt;&gt;"",F310/100,"")</f>
        <v>0.75502736328125253</v>
      </c>
      <c r="J310">
        <f t="shared" si="29"/>
        <v>0.75502736328125253</v>
      </c>
      <c r="K310">
        <f t="shared" si="36"/>
        <v>3.0820885687249131</v>
      </c>
      <c r="L310">
        <f t="shared" ref="L310:L346" si="51">IF(I310&lt;&gt;"",I310*(1/($C$237*(1-I310)+I310)),"")</f>
        <v>0.68764561910513977</v>
      </c>
      <c r="M310">
        <f t="shared" ref="M310:M346" si="52">IF(I310&lt;&gt;"",I310*(1/($C$237*(1-I310))),"")</f>
        <v>2.2014918348035097</v>
      </c>
      <c r="N310">
        <f t="shared" si="30"/>
        <v>0.43020831417102828</v>
      </c>
      <c r="O310">
        <f t="shared" si="31"/>
        <v>0.75502736328125253</v>
      </c>
      <c r="P310">
        <f t="shared" ref="P310:P346" si="53">IF(I310&lt;&gt;"",I310*(1/($C$237+I310)),"")</f>
        <v>0.35035627674427533</v>
      </c>
      <c r="Q310">
        <f t="shared" ref="Q310:Q346" si="54">IF(I310&lt;&gt;"",I310*(1/$C$237),"")</f>
        <v>0.53930525948660901</v>
      </c>
      <c r="R310">
        <f t="shared" ref="R310:R346" si="55">IF(I310&lt;&gt;"",I310*($C$237/(1+($C$237-1)*I310)),"")</f>
        <v>0.81185055501975789</v>
      </c>
      <c r="S310">
        <f t="shared" ref="S310:S346" si="56">IF(I310&lt;&gt;"",I310*($C$237/(1-I310)),"")</f>
        <v>4.314923996214878</v>
      </c>
      <c r="T310">
        <f t="shared" si="32"/>
        <v>0.75502736328125253</v>
      </c>
      <c r="U310">
        <f t="shared" si="33"/>
        <v>3.0820885687249131</v>
      </c>
      <c r="V310">
        <f t="shared" ref="V310:V346" si="57">IF(I310&lt;&gt;"",I310*($C$237/(1+$C$237*I310)),"")</f>
        <v>0.51386418239161191</v>
      </c>
      <c r="W310">
        <f t="shared" ref="W310:W346" si="58">IF(I310&lt;&gt;"",I310*$C$237,"")</f>
        <v>1.0570383085937534</v>
      </c>
      <c r="X310">
        <f t="shared" si="34"/>
        <v>0.43020831417102828</v>
      </c>
      <c r="Y310" s="118">
        <f t="shared" si="35"/>
        <v>0.75502736328125253</v>
      </c>
    </row>
    <row r="311" spans="2:25" outlineLevel="1" x14ac:dyDescent="0.25">
      <c r="B311" s="115">
        <v>650</v>
      </c>
      <c r="C311" s="116">
        <f t="shared" si="48"/>
        <v>48.079379984375066</v>
      </c>
      <c r="E311" s="115">
        <v>760</v>
      </c>
      <c r="F311" s="100">
        <v>79.637121806080586</v>
      </c>
      <c r="H311" s="81">
        <f t="shared" si="49"/>
        <v>760</v>
      </c>
      <c r="I311" s="117">
        <f t="shared" si="50"/>
        <v>0.79637121806080591</v>
      </c>
      <c r="J311">
        <f t="shared" ref="J311:J346" si="59">IF(I311&lt;&gt;"",I311*1,"")</f>
        <v>0.79637121806080591</v>
      </c>
      <c r="K311">
        <f t="shared" ref="K311:K346" si="60">IF(I311&lt;&gt;"",I311/(1-I311),"")</f>
        <v>3.9108971260193051</v>
      </c>
      <c r="L311">
        <f t="shared" si="51"/>
        <v>0.73639105281458417</v>
      </c>
      <c r="M311">
        <f t="shared" si="52"/>
        <v>2.7934979471566463</v>
      </c>
      <c r="N311">
        <f t="shared" ref="N311:N346" si="61">IF(I311&lt;&gt;"",I311*(1/(1+I311)),"")</f>
        <v>0.44332218756014896</v>
      </c>
      <c r="O311">
        <f t="shared" ref="O311:O346" si="62">IF(I311&lt;&gt;"",I311*1,"")</f>
        <v>0.79637121806080591</v>
      </c>
      <c r="P311">
        <f t="shared" si="53"/>
        <v>0.36258498177003456</v>
      </c>
      <c r="Q311">
        <f t="shared" si="54"/>
        <v>0.56883658432914708</v>
      </c>
      <c r="R311">
        <f t="shared" si="55"/>
        <v>0.84556595080712327</v>
      </c>
      <c r="S311">
        <f t="shared" si="56"/>
        <v>5.4752559764270261</v>
      </c>
      <c r="T311">
        <f t="shared" ref="T311:T346" si="63">IF(I311&lt;&gt;"",I311*1,"")</f>
        <v>0.79637121806080591</v>
      </c>
      <c r="U311">
        <f t="shared" ref="U311:U346" si="64">IF(I311&lt;&gt;"",I311*(1/(1-I311)),"")</f>
        <v>3.9108971260193046</v>
      </c>
      <c r="V311">
        <f t="shared" si="57"/>
        <v>0.52716881047491937</v>
      </c>
      <c r="W311">
        <f t="shared" si="58"/>
        <v>1.1149197052851283</v>
      </c>
      <c r="X311">
        <f t="shared" ref="X311:X346" si="65">IF(I311&lt;&gt;"",I311*(1/(1+I311)),"")</f>
        <v>0.44332218756014896</v>
      </c>
      <c r="Y311" s="118">
        <f t="shared" ref="Y311:Y346" si="66">IF(I311&lt;&gt;"",I311*1,"")</f>
        <v>0.79637121806080591</v>
      </c>
    </row>
    <row r="312" spans="2:25" outlineLevel="1" x14ac:dyDescent="0.25">
      <c r="B312" s="115">
        <v>660</v>
      </c>
      <c r="C312" s="116">
        <f t="shared" si="48"/>
        <v>49.994170266080232</v>
      </c>
      <c r="E312" s="115">
        <v>770</v>
      </c>
      <c r="F312" s="100">
        <v>84.123340131035206</v>
      </c>
      <c r="H312" s="81">
        <f t="shared" si="49"/>
        <v>770</v>
      </c>
      <c r="I312" s="117">
        <f t="shared" si="50"/>
        <v>0.84123340131035207</v>
      </c>
      <c r="J312">
        <f t="shared" si="59"/>
        <v>0.84123340131035207</v>
      </c>
      <c r="K312">
        <f t="shared" si="60"/>
        <v>5.2985540299617382</v>
      </c>
      <c r="L312">
        <f t="shared" si="51"/>
        <v>0.79099967041573638</v>
      </c>
      <c r="M312">
        <f t="shared" si="52"/>
        <v>3.7846814499726706</v>
      </c>
      <c r="N312">
        <f t="shared" si="61"/>
        <v>0.45688580313156979</v>
      </c>
      <c r="O312">
        <f t="shared" si="62"/>
        <v>0.84123340131035207</v>
      </c>
      <c r="P312">
        <f t="shared" si="53"/>
        <v>0.37534395160205958</v>
      </c>
      <c r="Q312">
        <f t="shared" si="54"/>
        <v>0.60088100093596575</v>
      </c>
      <c r="R312">
        <f t="shared" si="55"/>
        <v>0.88120659377807653</v>
      </c>
      <c r="S312">
        <f t="shared" si="56"/>
        <v>7.4179756419464331</v>
      </c>
      <c r="T312">
        <f t="shared" si="63"/>
        <v>0.84123340131035207</v>
      </c>
      <c r="U312">
        <f t="shared" si="64"/>
        <v>5.2985540299617382</v>
      </c>
      <c r="V312">
        <f t="shared" si="57"/>
        <v>0.54080556958504233</v>
      </c>
      <c r="W312">
        <f t="shared" si="58"/>
        <v>1.1777267618344929</v>
      </c>
      <c r="X312">
        <f t="shared" si="65"/>
        <v>0.45688580313156979</v>
      </c>
      <c r="Y312" s="118">
        <f t="shared" si="66"/>
        <v>0.84123340131035207</v>
      </c>
    </row>
    <row r="313" spans="2:25" outlineLevel="1" x14ac:dyDescent="0.25">
      <c r="B313" s="115">
        <v>670</v>
      </c>
      <c r="C313" s="116">
        <f t="shared" si="48"/>
        <v>52.045537885284944</v>
      </c>
      <c r="E313" s="115">
        <v>780</v>
      </c>
      <c r="F313" s="100">
        <v>88.991048644640387</v>
      </c>
      <c r="H313" s="81">
        <f t="shared" si="49"/>
        <v>780</v>
      </c>
      <c r="I313" s="117">
        <f t="shared" si="50"/>
        <v>0.88991048644640391</v>
      </c>
      <c r="J313">
        <f t="shared" si="59"/>
        <v>0.88991048644640391</v>
      </c>
      <c r="K313">
        <f t="shared" si="60"/>
        <v>8.0835172917097058</v>
      </c>
      <c r="L313">
        <f t="shared" si="51"/>
        <v>0.8523754471113949</v>
      </c>
      <c r="M313">
        <f t="shared" si="52"/>
        <v>5.77394092264979</v>
      </c>
      <c r="N313">
        <f t="shared" si="61"/>
        <v>0.47087441062867552</v>
      </c>
      <c r="O313">
        <f t="shared" si="62"/>
        <v>0.88991048644640391</v>
      </c>
      <c r="P313">
        <f t="shared" si="53"/>
        <v>0.38862239013866912</v>
      </c>
      <c r="Q313">
        <f t="shared" si="54"/>
        <v>0.63565034746171711</v>
      </c>
      <c r="R313">
        <f t="shared" si="55"/>
        <v>0.91881089928940773</v>
      </c>
      <c r="S313">
        <f t="shared" si="56"/>
        <v>11.316924208393585</v>
      </c>
      <c r="T313">
        <f t="shared" si="63"/>
        <v>0.88991048644640391</v>
      </c>
      <c r="U313">
        <f t="shared" si="64"/>
        <v>8.0835172917097058</v>
      </c>
      <c r="V313">
        <f t="shared" si="57"/>
        <v>0.55473918093077967</v>
      </c>
      <c r="W313">
        <f t="shared" si="58"/>
        <v>1.2458746810249655</v>
      </c>
      <c r="X313">
        <f t="shared" si="65"/>
        <v>0.47087441062867552</v>
      </c>
      <c r="Y313" s="118">
        <f t="shared" si="66"/>
        <v>0.88991048644640391</v>
      </c>
    </row>
    <row r="314" spans="2:25" outlineLevel="1" x14ac:dyDescent="0.25">
      <c r="B314" s="115">
        <v>680</v>
      </c>
      <c r="C314" s="116">
        <f t="shared" si="48"/>
        <v>54.249005008640211</v>
      </c>
      <c r="E314" s="115">
        <v>790</v>
      </c>
      <c r="F314" s="100">
        <v>94.27155650234522</v>
      </c>
      <c r="H314" s="81">
        <f t="shared" si="49"/>
        <v>790</v>
      </c>
      <c r="I314" s="117">
        <f t="shared" si="50"/>
        <v>0.94271556502345222</v>
      </c>
      <c r="J314">
        <f t="shared" si="59"/>
        <v>0.94271556502345222</v>
      </c>
      <c r="K314">
        <f t="shared" si="60"/>
        <v>16.456748947762154</v>
      </c>
      <c r="L314">
        <f t="shared" si="51"/>
        <v>0.92159827054210497</v>
      </c>
      <c r="M314">
        <f t="shared" si="52"/>
        <v>11.754820676972967</v>
      </c>
      <c r="N314">
        <f t="shared" si="61"/>
        <v>0.48525660781024932</v>
      </c>
      <c r="O314">
        <f t="shared" si="62"/>
        <v>0.94271556502345222</v>
      </c>
      <c r="P314">
        <f t="shared" si="53"/>
        <v>0.40240291185926153</v>
      </c>
      <c r="Q314">
        <f t="shared" si="54"/>
        <v>0.67336826073103728</v>
      </c>
      <c r="R314">
        <f t="shared" si="55"/>
        <v>0.95840170797252777</v>
      </c>
      <c r="S314">
        <f t="shared" si="56"/>
        <v>23.039448526867016</v>
      </c>
      <c r="T314">
        <f t="shared" si="63"/>
        <v>0.94271556502345222</v>
      </c>
      <c r="U314">
        <f t="shared" si="64"/>
        <v>16.456748947762154</v>
      </c>
      <c r="V314">
        <f t="shared" si="57"/>
        <v>0.56892868870716096</v>
      </c>
      <c r="W314">
        <f t="shared" si="58"/>
        <v>1.319801791032833</v>
      </c>
      <c r="X314">
        <f t="shared" si="65"/>
        <v>0.48525660781024932</v>
      </c>
      <c r="Y314" s="118">
        <f t="shared" si="66"/>
        <v>0.94271556502345222</v>
      </c>
    </row>
    <row r="315" spans="2:25" outlineLevel="1" x14ac:dyDescent="0.25">
      <c r="B315" s="115">
        <v>690</v>
      </c>
      <c r="C315" s="116">
        <f t="shared" si="48"/>
        <v>56.621312350595076</v>
      </c>
      <c r="E315" s="115">
        <v>800</v>
      </c>
      <c r="F315" s="100">
        <v>99.997868000000608</v>
      </c>
      <c r="H315" s="81">
        <f t="shared" si="49"/>
        <v>800</v>
      </c>
      <c r="I315" s="117">
        <f t="shared" si="50"/>
        <v>0.99997868000000611</v>
      </c>
      <c r="J315">
        <f t="shared" si="59"/>
        <v>0.99997868000000611</v>
      </c>
      <c r="K315">
        <f t="shared" si="60"/>
        <v>46903.31521045095</v>
      </c>
      <c r="L315">
        <f t="shared" si="51"/>
        <v>0.99997015225455022</v>
      </c>
      <c r="M315">
        <f t="shared" si="52"/>
        <v>33502.368007464967</v>
      </c>
      <c r="N315">
        <f t="shared" si="61"/>
        <v>0.49999466994318315</v>
      </c>
      <c r="O315">
        <f t="shared" si="62"/>
        <v>0.99997868000000611</v>
      </c>
      <c r="P315">
        <f t="shared" si="53"/>
        <v>0.41666148467619041</v>
      </c>
      <c r="Q315">
        <f t="shared" si="54"/>
        <v>0.71427048571429008</v>
      </c>
      <c r="R315">
        <f t="shared" si="55"/>
        <v>0.99998477133581154</v>
      </c>
      <c r="S315">
        <f t="shared" si="56"/>
        <v>65664.641294631336</v>
      </c>
      <c r="T315">
        <f t="shared" si="63"/>
        <v>0.99997868000000611</v>
      </c>
      <c r="U315">
        <f t="shared" si="64"/>
        <v>46903.31521045095</v>
      </c>
      <c r="V315">
        <f t="shared" si="57"/>
        <v>0.58332815132444338</v>
      </c>
      <c r="W315">
        <f t="shared" si="58"/>
        <v>1.3999701520000085</v>
      </c>
      <c r="X315">
        <f t="shared" si="65"/>
        <v>0.49999466994318315</v>
      </c>
      <c r="Y315" s="118">
        <f t="shared" si="66"/>
        <v>0.99997868000000611</v>
      </c>
    </row>
    <row r="316" spans="2:25" outlineLevel="1" x14ac:dyDescent="0.25">
      <c r="B316" s="115">
        <v>700</v>
      </c>
      <c r="C316" s="116">
        <f t="shared" si="48"/>
        <v>59.18046250000009</v>
      </c>
      <c r="E316" s="86"/>
      <c r="F316" s="118"/>
      <c r="H316" s="81" t="str">
        <f t="shared" si="49"/>
        <v/>
      </c>
      <c r="I316" s="117" t="str">
        <f t="shared" si="50"/>
        <v/>
      </c>
      <c r="J316" t="str">
        <f t="shared" si="59"/>
        <v/>
      </c>
      <c r="K316" t="str">
        <f t="shared" si="60"/>
        <v/>
      </c>
      <c r="L316" t="str">
        <f t="shared" si="51"/>
        <v/>
      </c>
      <c r="M316" t="str">
        <f t="shared" si="52"/>
        <v/>
      </c>
      <c r="N316" t="str">
        <f t="shared" si="61"/>
        <v/>
      </c>
      <c r="O316" t="str">
        <f t="shared" si="62"/>
        <v/>
      </c>
      <c r="P316" t="str">
        <f t="shared" si="53"/>
        <v/>
      </c>
      <c r="Q316" t="str">
        <f t="shared" si="54"/>
        <v/>
      </c>
      <c r="R316" t="str">
        <f t="shared" si="55"/>
        <v/>
      </c>
      <c r="S316" t="str">
        <f t="shared" si="56"/>
        <v/>
      </c>
      <c r="T316" t="str">
        <f t="shared" si="63"/>
        <v/>
      </c>
      <c r="U316" t="str">
        <f t="shared" si="64"/>
        <v/>
      </c>
      <c r="V316" t="str">
        <f t="shared" si="57"/>
        <v/>
      </c>
      <c r="W316" t="str">
        <f t="shared" si="58"/>
        <v/>
      </c>
      <c r="X316" t="str">
        <f t="shared" si="65"/>
        <v/>
      </c>
      <c r="Y316" s="118" t="str">
        <f t="shared" si="66"/>
        <v/>
      </c>
    </row>
    <row r="317" spans="2:25" outlineLevel="1" x14ac:dyDescent="0.25">
      <c r="B317" s="115">
        <v>710</v>
      </c>
      <c r="C317" s="116">
        <f t="shared" si="48"/>
        <v>61.945763246705269</v>
      </c>
      <c r="E317" s="86"/>
      <c r="F317" s="118"/>
      <c r="H317" s="81" t="str">
        <f t="shared" si="49"/>
        <v/>
      </c>
      <c r="I317" s="117" t="str">
        <f t="shared" si="50"/>
        <v/>
      </c>
      <c r="J317" t="str">
        <f t="shared" si="59"/>
        <v/>
      </c>
      <c r="K317" t="str">
        <f t="shared" si="60"/>
        <v/>
      </c>
      <c r="L317" t="str">
        <f t="shared" si="51"/>
        <v/>
      </c>
      <c r="M317" t="str">
        <f t="shared" si="52"/>
        <v/>
      </c>
      <c r="N317" t="str">
        <f t="shared" si="61"/>
        <v/>
      </c>
      <c r="O317" t="str">
        <f t="shared" si="62"/>
        <v/>
      </c>
      <c r="P317" t="str">
        <f t="shared" si="53"/>
        <v/>
      </c>
      <c r="Q317" t="str">
        <f t="shared" si="54"/>
        <v/>
      </c>
      <c r="R317" t="str">
        <f t="shared" si="55"/>
        <v/>
      </c>
      <c r="S317" t="str">
        <f t="shared" si="56"/>
        <v/>
      </c>
      <c r="T317" t="str">
        <f t="shared" si="63"/>
        <v/>
      </c>
      <c r="U317" t="str">
        <f t="shared" si="64"/>
        <v/>
      </c>
      <c r="V317" t="str">
        <f t="shared" si="57"/>
        <v/>
      </c>
      <c r="W317" t="str">
        <f t="shared" si="58"/>
        <v/>
      </c>
      <c r="X317" t="str">
        <f t="shared" si="65"/>
        <v/>
      </c>
      <c r="Y317" s="118" t="str">
        <f t="shared" si="66"/>
        <v/>
      </c>
    </row>
    <row r="318" spans="2:25" outlineLevel="1" x14ac:dyDescent="0.25">
      <c r="B318" s="115">
        <v>720</v>
      </c>
      <c r="C318" s="116">
        <f t="shared" si="48"/>
        <v>64.937870908159994</v>
      </c>
      <c r="E318" s="86"/>
      <c r="F318" s="118"/>
      <c r="H318" s="81" t="str">
        <f t="shared" si="49"/>
        <v/>
      </c>
      <c r="I318" s="117" t="str">
        <f t="shared" si="50"/>
        <v/>
      </c>
      <c r="J318" t="str">
        <f t="shared" si="59"/>
        <v/>
      </c>
      <c r="K318" t="str">
        <f t="shared" si="60"/>
        <v/>
      </c>
      <c r="L318" t="str">
        <f t="shared" si="51"/>
        <v/>
      </c>
      <c r="M318" t="str">
        <f t="shared" si="52"/>
        <v/>
      </c>
      <c r="N318" t="str">
        <f t="shared" si="61"/>
        <v/>
      </c>
      <c r="O318" t="str">
        <f t="shared" si="62"/>
        <v/>
      </c>
      <c r="P318" t="str">
        <f t="shared" si="53"/>
        <v/>
      </c>
      <c r="Q318" t="str">
        <f t="shared" si="54"/>
        <v/>
      </c>
      <c r="R318" t="str">
        <f t="shared" si="55"/>
        <v/>
      </c>
      <c r="S318" t="str">
        <f t="shared" si="56"/>
        <v/>
      </c>
      <c r="T318" t="str">
        <f t="shared" si="63"/>
        <v/>
      </c>
      <c r="U318" t="str">
        <f t="shared" si="64"/>
        <v/>
      </c>
      <c r="V318" t="str">
        <f t="shared" si="57"/>
        <v/>
      </c>
      <c r="W318" t="str">
        <f t="shared" si="58"/>
        <v/>
      </c>
      <c r="X318" t="str">
        <f t="shared" si="65"/>
        <v/>
      </c>
      <c r="Y318" s="118" t="str">
        <f t="shared" si="66"/>
        <v/>
      </c>
    </row>
    <row r="319" spans="2:25" outlineLevel="1" x14ac:dyDescent="0.25">
      <c r="B319" s="115">
        <v>730</v>
      </c>
      <c r="C319" s="116">
        <f t="shared" si="48"/>
        <v>68.178833656015058</v>
      </c>
      <c r="E319" s="86"/>
      <c r="F319" s="118"/>
      <c r="H319" s="81" t="str">
        <f t="shared" si="49"/>
        <v/>
      </c>
      <c r="I319" s="117" t="str">
        <f t="shared" si="50"/>
        <v/>
      </c>
      <c r="J319" t="str">
        <f t="shared" si="59"/>
        <v/>
      </c>
      <c r="K319" t="str">
        <f t="shared" si="60"/>
        <v/>
      </c>
      <c r="L319" t="str">
        <f t="shared" si="51"/>
        <v/>
      </c>
      <c r="M319" t="str">
        <f t="shared" si="52"/>
        <v/>
      </c>
      <c r="N319" t="str">
        <f t="shared" si="61"/>
        <v/>
      </c>
      <c r="O319" t="str">
        <f t="shared" si="62"/>
        <v/>
      </c>
      <c r="P319" t="str">
        <f t="shared" si="53"/>
        <v/>
      </c>
      <c r="Q319" t="str">
        <f t="shared" si="54"/>
        <v/>
      </c>
      <c r="R319" t="str">
        <f t="shared" si="55"/>
        <v/>
      </c>
      <c r="S319" t="str">
        <f t="shared" si="56"/>
        <v/>
      </c>
      <c r="T319" t="str">
        <f t="shared" si="63"/>
        <v/>
      </c>
      <c r="U319" t="str">
        <f t="shared" si="64"/>
        <v/>
      </c>
      <c r="V319" t="str">
        <f t="shared" si="57"/>
        <v/>
      </c>
      <c r="W319" t="str">
        <f t="shared" si="58"/>
        <v/>
      </c>
      <c r="X319" t="str">
        <f t="shared" si="65"/>
        <v/>
      </c>
      <c r="Y319" s="118" t="str">
        <f t="shared" si="66"/>
        <v/>
      </c>
    </row>
    <row r="320" spans="2:25" outlineLevel="1" x14ac:dyDescent="0.25">
      <c r="B320" s="115">
        <v>740</v>
      </c>
      <c r="C320" s="116">
        <f t="shared" si="48"/>
        <v>71.692134842719838</v>
      </c>
      <c r="E320" s="86"/>
      <c r="F320" s="118"/>
      <c r="H320" s="81" t="str">
        <f t="shared" si="49"/>
        <v/>
      </c>
      <c r="I320" s="117" t="str">
        <f t="shared" si="50"/>
        <v/>
      </c>
      <c r="J320" t="str">
        <f t="shared" si="59"/>
        <v/>
      </c>
      <c r="K320" t="str">
        <f t="shared" si="60"/>
        <v/>
      </c>
      <c r="L320" t="str">
        <f t="shared" si="51"/>
        <v/>
      </c>
      <c r="M320" t="str">
        <f t="shared" si="52"/>
        <v/>
      </c>
      <c r="N320" t="str">
        <f t="shared" si="61"/>
        <v/>
      </c>
      <c r="O320" t="str">
        <f t="shared" si="62"/>
        <v/>
      </c>
      <c r="P320" t="str">
        <f t="shared" si="53"/>
        <v/>
      </c>
      <c r="Q320" t="str">
        <f t="shared" si="54"/>
        <v/>
      </c>
      <c r="R320" t="str">
        <f t="shared" si="55"/>
        <v/>
      </c>
      <c r="S320" t="str">
        <f t="shared" si="56"/>
        <v/>
      </c>
      <c r="T320" t="str">
        <f t="shared" si="63"/>
        <v/>
      </c>
      <c r="U320" t="str">
        <f t="shared" si="64"/>
        <v/>
      </c>
      <c r="V320" t="str">
        <f t="shared" si="57"/>
        <v/>
      </c>
      <c r="W320" t="str">
        <f t="shared" si="58"/>
        <v/>
      </c>
      <c r="X320" t="str">
        <f t="shared" si="65"/>
        <v/>
      </c>
      <c r="Y320" s="118" t="str">
        <f t="shared" si="66"/>
        <v/>
      </c>
    </row>
    <row r="321" spans="2:25" outlineLevel="1" x14ac:dyDescent="0.25">
      <c r="B321" s="115">
        <v>750</v>
      </c>
      <c r="C321" s="116">
        <f t="shared" si="48"/>
        <v>75.502736328125252</v>
      </c>
      <c r="E321" s="86"/>
      <c r="F321" s="118"/>
      <c r="H321" s="81" t="str">
        <f t="shared" si="49"/>
        <v/>
      </c>
      <c r="I321" s="117" t="str">
        <f t="shared" si="50"/>
        <v/>
      </c>
      <c r="J321" t="str">
        <f t="shared" si="59"/>
        <v/>
      </c>
      <c r="K321" t="str">
        <f t="shared" si="60"/>
        <v/>
      </c>
      <c r="L321" t="str">
        <f t="shared" si="51"/>
        <v/>
      </c>
      <c r="M321" t="str">
        <f t="shared" si="52"/>
        <v/>
      </c>
      <c r="N321" t="str">
        <f t="shared" si="61"/>
        <v/>
      </c>
      <c r="O321" t="str">
        <f t="shared" si="62"/>
        <v/>
      </c>
      <c r="P321" t="str">
        <f t="shared" si="53"/>
        <v/>
      </c>
      <c r="Q321" t="str">
        <f t="shared" si="54"/>
        <v/>
      </c>
      <c r="R321" t="str">
        <f t="shared" si="55"/>
        <v/>
      </c>
      <c r="S321" t="str">
        <f t="shared" si="56"/>
        <v/>
      </c>
      <c r="T321" t="str">
        <f t="shared" si="63"/>
        <v/>
      </c>
      <c r="U321" t="str">
        <f t="shared" si="64"/>
        <v/>
      </c>
      <c r="V321" t="str">
        <f t="shared" si="57"/>
        <v/>
      </c>
      <c r="W321" t="str">
        <f t="shared" si="58"/>
        <v/>
      </c>
      <c r="X321" t="str">
        <f t="shared" si="65"/>
        <v/>
      </c>
      <c r="Y321" s="118" t="str">
        <f t="shared" si="66"/>
        <v/>
      </c>
    </row>
    <row r="322" spans="2:25" outlineLevel="1" x14ac:dyDescent="0.25">
      <c r="B322" s="115">
        <v>760</v>
      </c>
      <c r="C322" s="116">
        <f t="shared" si="48"/>
        <v>79.637121806080586</v>
      </c>
      <c r="E322" s="86"/>
      <c r="F322" s="118"/>
      <c r="H322" s="81" t="str">
        <f t="shared" si="49"/>
        <v/>
      </c>
      <c r="I322" s="117" t="str">
        <f t="shared" si="50"/>
        <v/>
      </c>
      <c r="J322" t="str">
        <f t="shared" si="59"/>
        <v/>
      </c>
      <c r="K322" t="str">
        <f t="shared" si="60"/>
        <v/>
      </c>
      <c r="L322" t="str">
        <f t="shared" si="51"/>
        <v/>
      </c>
      <c r="M322" t="str">
        <f t="shared" si="52"/>
        <v/>
      </c>
      <c r="N322" t="str">
        <f t="shared" si="61"/>
        <v/>
      </c>
      <c r="O322" t="str">
        <f t="shared" si="62"/>
        <v/>
      </c>
      <c r="P322" t="str">
        <f t="shared" si="53"/>
        <v/>
      </c>
      <c r="Q322" t="str">
        <f t="shared" si="54"/>
        <v/>
      </c>
      <c r="R322" t="str">
        <f t="shared" si="55"/>
        <v/>
      </c>
      <c r="S322" t="str">
        <f t="shared" si="56"/>
        <v/>
      </c>
      <c r="T322" t="str">
        <f t="shared" si="63"/>
        <v/>
      </c>
      <c r="U322" t="str">
        <f t="shared" si="64"/>
        <v/>
      </c>
      <c r="V322" t="str">
        <f t="shared" si="57"/>
        <v/>
      </c>
      <c r="W322" t="str">
        <f t="shared" si="58"/>
        <v/>
      </c>
      <c r="X322" t="str">
        <f t="shared" si="65"/>
        <v/>
      </c>
      <c r="Y322" s="118" t="str">
        <f t="shared" si="66"/>
        <v/>
      </c>
    </row>
    <row r="323" spans="2:25" outlineLevel="1" x14ac:dyDescent="0.25">
      <c r="B323" s="115">
        <v>770</v>
      </c>
      <c r="C323" s="116">
        <f t="shared" si="48"/>
        <v>84.123340131035206</v>
      </c>
      <c r="E323" s="86"/>
      <c r="F323" s="118"/>
      <c r="H323" s="81" t="str">
        <f t="shared" si="49"/>
        <v/>
      </c>
      <c r="I323" s="117" t="str">
        <f t="shared" si="50"/>
        <v/>
      </c>
      <c r="J323" t="str">
        <f t="shared" si="59"/>
        <v/>
      </c>
      <c r="K323" t="str">
        <f t="shared" si="60"/>
        <v/>
      </c>
      <c r="L323" t="str">
        <f t="shared" si="51"/>
        <v/>
      </c>
      <c r="M323" t="str">
        <f t="shared" si="52"/>
        <v/>
      </c>
      <c r="N323" t="str">
        <f t="shared" si="61"/>
        <v/>
      </c>
      <c r="O323" t="str">
        <f t="shared" si="62"/>
        <v/>
      </c>
      <c r="P323" t="str">
        <f t="shared" si="53"/>
        <v/>
      </c>
      <c r="Q323" t="str">
        <f t="shared" si="54"/>
        <v/>
      </c>
      <c r="R323" t="str">
        <f t="shared" si="55"/>
        <v/>
      </c>
      <c r="S323" t="str">
        <f t="shared" si="56"/>
        <v/>
      </c>
      <c r="T323" t="str">
        <f t="shared" si="63"/>
        <v/>
      </c>
      <c r="U323" t="str">
        <f t="shared" si="64"/>
        <v/>
      </c>
      <c r="V323" t="str">
        <f t="shared" si="57"/>
        <v/>
      </c>
      <c r="W323" t="str">
        <f t="shared" si="58"/>
        <v/>
      </c>
      <c r="X323" t="str">
        <f t="shared" si="65"/>
        <v/>
      </c>
      <c r="Y323" s="118" t="str">
        <f t="shared" si="66"/>
        <v/>
      </c>
    </row>
    <row r="324" spans="2:25" outlineLevel="1" x14ac:dyDescent="0.25">
      <c r="B324" s="115">
        <v>780</v>
      </c>
      <c r="C324" s="116">
        <f t="shared" si="48"/>
        <v>88.991048644640387</v>
      </c>
      <c r="E324" s="86"/>
      <c r="F324" s="118"/>
      <c r="H324" s="81" t="str">
        <f t="shared" si="49"/>
        <v/>
      </c>
      <c r="I324" s="117" t="str">
        <f t="shared" si="50"/>
        <v/>
      </c>
      <c r="J324" t="str">
        <f t="shared" si="59"/>
        <v/>
      </c>
      <c r="K324" t="str">
        <f t="shared" si="60"/>
        <v/>
      </c>
      <c r="L324" t="str">
        <f t="shared" si="51"/>
        <v/>
      </c>
      <c r="M324" t="str">
        <f t="shared" si="52"/>
        <v/>
      </c>
      <c r="N324" t="str">
        <f t="shared" si="61"/>
        <v/>
      </c>
      <c r="O324" t="str">
        <f t="shared" si="62"/>
        <v/>
      </c>
      <c r="P324" t="str">
        <f t="shared" si="53"/>
        <v/>
      </c>
      <c r="Q324" t="str">
        <f t="shared" si="54"/>
        <v/>
      </c>
      <c r="R324" t="str">
        <f t="shared" si="55"/>
        <v/>
      </c>
      <c r="S324" t="str">
        <f t="shared" si="56"/>
        <v/>
      </c>
      <c r="T324" t="str">
        <f t="shared" si="63"/>
        <v/>
      </c>
      <c r="U324" t="str">
        <f t="shared" si="64"/>
        <v/>
      </c>
      <c r="V324" t="str">
        <f t="shared" si="57"/>
        <v/>
      </c>
      <c r="W324" t="str">
        <f t="shared" si="58"/>
        <v/>
      </c>
      <c r="X324" t="str">
        <f t="shared" si="65"/>
        <v/>
      </c>
      <c r="Y324" s="118" t="str">
        <f t="shared" si="66"/>
        <v/>
      </c>
    </row>
    <row r="325" spans="2:25" outlineLevel="1" x14ac:dyDescent="0.25">
      <c r="B325" s="115">
        <v>790</v>
      </c>
      <c r="C325" s="116">
        <f t="shared" si="48"/>
        <v>94.27155650234522</v>
      </c>
      <c r="E325" s="86"/>
      <c r="F325" s="118"/>
      <c r="H325" s="81" t="str">
        <f t="shared" si="49"/>
        <v/>
      </c>
      <c r="I325" s="117" t="str">
        <f t="shared" si="50"/>
        <v/>
      </c>
      <c r="J325" t="str">
        <f t="shared" si="59"/>
        <v/>
      </c>
      <c r="K325" t="str">
        <f t="shared" si="60"/>
        <v/>
      </c>
      <c r="L325" t="str">
        <f t="shared" si="51"/>
        <v/>
      </c>
      <c r="M325" t="str">
        <f t="shared" si="52"/>
        <v/>
      </c>
      <c r="N325" t="str">
        <f t="shared" si="61"/>
        <v/>
      </c>
      <c r="O325" t="str">
        <f t="shared" si="62"/>
        <v/>
      </c>
      <c r="P325" t="str">
        <f t="shared" si="53"/>
        <v/>
      </c>
      <c r="Q325" t="str">
        <f t="shared" si="54"/>
        <v/>
      </c>
      <c r="R325" t="str">
        <f t="shared" si="55"/>
        <v/>
      </c>
      <c r="S325" t="str">
        <f t="shared" si="56"/>
        <v/>
      </c>
      <c r="T325" t="str">
        <f t="shared" si="63"/>
        <v/>
      </c>
      <c r="U325" t="str">
        <f t="shared" si="64"/>
        <v/>
      </c>
      <c r="V325" t="str">
        <f t="shared" si="57"/>
        <v/>
      </c>
      <c r="W325" t="str">
        <f t="shared" si="58"/>
        <v/>
      </c>
      <c r="X325" t="str">
        <f t="shared" si="65"/>
        <v/>
      </c>
      <c r="Y325" s="118" t="str">
        <f t="shared" si="66"/>
        <v/>
      </c>
    </row>
    <row r="326" spans="2:25" outlineLevel="1" x14ac:dyDescent="0.25">
      <c r="B326" s="115">
        <v>800</v>
      </c>
      <c r="C326" s="116">
        <f t="shared" si="48"/>
        <v>99.997868000000608</v>
      </c>
      <c r="E326" s="86"/>
      <c r="F326" s="118"/>
      <c r="H326" s="81" t="str">
        <f t="shared" si="49"/>
        <v/>
      </c>
      <c r="I326" s="117" t="str">
        <f t="shared" si="50"/>
        <v/>
      </c>
      <c r="J326" t="str">
        <f t="shared" si="59"/>
        <v/>
      </c>
      <c r="K326" t="str">
        <f t="shared" si="60"/>
        <v/>
      </c>
      <c r="L326" t="str">
        <f t="shared" si="51"/>
        <v/>
      </c>
      <c r="M326" t="str">
        <f t="shared" si="52"/>
        <v/>
      </c>
      <c r="N326" t="str">
        <f t="shared" si="61"/>
        <v/>
      </c>
      <c r="O326" t="str">
        <f t="shared" si="62"/>
        <v/>
      </c>
      <c r="P326" t="str">
        <f t="shared" si="53"/>
        <v/>
      </c>
      <c r="Q326" t="str">
        <f t="shared" si="54"/>
        <v/>
      </c>
      <c r="R326" t="str">
        <f t="shared" si="55"/>
        <v/>
      </c>
      <c r="S326" t="str">
        <f t="shared" si="56"/>
        <v/>
      </c>
      <c r="T326" t="str">
        <f t="shared" si="63"/>
        <v/>
      </c>
      <c r="U326" t="str">
        <f t="shared" si="64"/>
        <v/>
      </c>
      <c r="V326" t="str">
        <f t="shared" si="57"/>
        <v/>
      </c>
      <c r="W326" t="str">
        <f t="shared" si="58"/>
        <v/>
      </c>
      <c r="X326" t="str">
        <f t="shared" si="65"/>
        <v/>
      </c>
      <c r="Y326" s="118" t="str">
        <f t="shared" si="66"/>
        <v/>
      </c>
    </row>
    <row r="327" spans="2:25" outlineLevel="1" x14ac:dyDescent="0.25">
      <c r="B327" s="115">
        <v>810</v>
      </c>
      <c r="C327" s="116">
        <f t="shared" si="48"/>
        <v>106.20472590045529</v>
      </c>
      <c r="E327" s="86"/>
      <c r="F327" s="118"/>
      <c r="H327" s="81" t="str">
        <f t="shared" si="49"/>
        <v/>
      </c>
      <c r="I327" s="117" t="str">
        <f t="shared" si="50"/>
        <v/>
      </c>
      <c r="J327" t="str">
        <f t="shared" si="59"/>
        <v/>
      </c>
      <c r="K327" t="str">
        <f t="shared" si="60"/>
        <v/>
      </c>
      <c r="L327" t="str">
        <f t="shared" si="51"/>
        <v/>
      </c>
      <c r="M327" t="str">
        <f t="shared" si="52"/>
        <v/>
      </c>
      <c r="N327" t="str">
        <f t="shared" si="61"/>
        <v/>
      </c>
      <c r="O327" t="str">
        <f t="shared" si="62"/>
        <v/>
      </c>
      <c r="P327" t="str">
        <f t="shared" si="53"/>
        <v/>
      </c>
      <c r="Q327" t="str">
        <f t="shared" si="54"/>
        <v/>
      </c>
      <c r="R327" t="str">
        <f t="shared" si="55"/>
        <v/>
      </c>
      <c r="S327" t="str">
        <f t="shared" si="56"/>
        <v/>
      </c>
      <c r="T327" t="str">
        <f t="shared" si="63"/>
        <v/>
      </c>
      <c r="U327" t="str">
        <f t="shared" si="64"/>
        <v/>
      </c>
      <c r="V327" t="str">
        <f t="shared" si="57"/>
        <v/>
      </c>
      <c r="W327" t="str">
        <f t="shared" si="58"/>
        <v/>
      </c>
      <c r="X327" t="str">
        <f t="shared" si="65"/>
        <v/>
      </c>
      <c r="Y327" s="118" t="str">
        <f t="shared" si="66"/>
        <v/>
      </c>
    </row>
    <row r="328" spans="2:25" outlineLevel="1" x14ac:dyDescent="0.25">
      <c r="B328" s="115">
        <v>820</v>
      </c>
      <c r="C328" s="116">
        <f t="shared" si="48"/>
        <v>112.92865476016073</v>
      </c>
      <c r="E328" s="86"/>
      <c r="F328" s="118"/>
      <c r="H328" s="81" t="str">
        <f t="shared" si="49"/>
        <v/>
      </c>
      <c r="I328" s="117" t="str">
        <f t="shared" si="50"/>
        <v/>
      </c>
      <c r="J328" t="str">
        <f t="shared" si="59"/>
        <v/>
      </c>
      <c r="K328" t="str">
        <f t="shared" si="60"/>
        <v/>
      </c>
      <c r="L328" t="str">
        <f t="shared" si="51"/>
        <v/>
      </c>
      <c r="M328" t="str">
        <f t="shared" si="52"/>
        <v/>
      </c>
      <c r="N328" t="str">
        <f t="shared" si="61"/>
        <v/>
      </c>
      <c r="O328" t="str">
        <f t="shared" si="62"/>
        <v/>
      </c>
      <c r="P328" t="str">
        <f t="shared" si="53"/>
        <v/>
      </c>
      <c r="Q328" t="str">
        <f t="shared" si="54"/>
        <v/>
      </c>
      <c r="R328" t="str">
        <f t="shared" si="55"/>
        <v/>
      </c>
      <c r="S328" t="str">
        <f t="shared" si="56"/>
        <v/>
      </c>
      <c r="T328" t="str">
        <f t="shared" si="63"/>
        <v/>
      </c>
      <c r="U328" t="str">
        <f t="shared" si="64"/>
        <v/>
      </c>
      <c r="V328" t="str">
        <f t="shared" si="57"/>
        <v/>
      </c>
      <c r="W328" t="str">
        <f t="shared" si="58"/>
        <v/>
      </c>
      <c r="X328" t="str">
        <f t="shared" si="65"/>
        <v/>
      </c>
      <c r="Y328" s="118" t="str">
        <f t="shared" si="66"/>
        <v/>
      </c>
    </row>
    <row r="329" spans="2:25" outlineLevel="1" x14ac:dyDescent="0.25">
      <c r="B329" s="115">
        <v>830</v>
      </c>
      <c r="C329" s="116">
        <f t="shared" si="48"/>
        <v>120.20800425576567</v>
      </c>
      <c r="E329" s="86"/>
      <c r="F329" s="118"/>
      <c r="H329" s="81" t="str">
        <f t="shared" si="49"/>
        <v/>
      </c>
      <c r="I329" s="117" t="str">
        <f t="shared" si="50"/>
        <v/>
      </c>
      <c r="J329" t="str">
        <f t="shared" si="59"/>
        <v/>
      </c>
      <c r="K329" t="str">
        <f t="shared" si="60"/>
        <v/>
      </c>
      <c r="L329" t="str">
        <f t="shared" si="51"/>
        <v/>
      </c>
      <c r="M329" t="str">
        <f t="shared" si="52"/>
        <v/>
      </c>
      <c r="N329" t="str">
        <f t="shared" si="61"/>
        <v/>
      </c>
      <c r="O329" t="str">
        <f t="shared" si="62"/>
        <v/>
      </c>
      <c r="P329" t="str">
        <f t="shared" si="53"/>
        <v/>
      </c>
      <c r="Q329" t="str">
        <f t="shared" si="54"/>
        <v/>
      </c>
      <c r="R329" t="str">
        <f t="shared" si="55"/>
        <v/>
      </c>
      <c r="S329" t="str">
        <f t="shared" si="56"/>
        <v/>
      </c>
      <c r="T329" t="str">
        <f t="shared" si="63"/>
        <v/>
      </c>
      <c r="U329" t="str">
        <f t="shared" si="64"/>
        <v/>
      </c>
      <c r="V329" t="str">
        <f t="shared" si="57"/>
        <v/>
      </c>
      <c r="W329" t="str">
        <f t="shared" si="58"/>
        <v/>
      </c>
      <c r="X329" t="str">
        <f t="shared" si="65"/>
        <v/>
      </c>
      <c r="Y329" s="118" t="str">
        <f t="shared" si="66"/>
        <v/>
      </c>
    </row>
    <row r="330" spans="2:25" outlineLevel="1" x14ac:dyDescent="0.25">
      <c r="B330" s="115">
        <v>840</v>
      </c>
      <c r="C330" s="116">
        <f t="shared" si="48"/>
        <v>128.08299251072026</v>
      </c>
      <c r="E330" s="86"/>
      <c r="F330" s="118"/>
      <c r="H330" s="81" t="str">
        <f t="shared" si="49"/>
        <v/>
      </c>
      <c r="I330" s="117" t="str">
        <f t="shared" si="50"/>
        <v/>
      </c>
      <c r="J330" t="str">
        <f t="shared" si="59"/>
        <v/>
      </c>
      <c r="K330" t="str">
        <f t="shared" si="60"/>
        <v/>
      </c>
      <c r="L330" t="str">
        <f t="shared" si="51"/>
        <v/>
      </c>
      <c r="M330" t="str">
        <f t="shared" si="52"/>
        <v/>
      </c>
      <c r="N330" t="str">
        <f t="shared" si="61"/>
        <v/>
      </c>
      <c r="O330" t="str">
        <f t="shared" si="62"/>
        <v/>
      </c>
      <c r="P330" t="str">
        <f t="shared" si="53"/>
        <v/>
      </c>
      <c r="Q330" t="str">
        <f t="shared" si="54"/>
        <v/>
      </c>
      <c r="R330" t="str">
        <f t="shared" si="55"/>
        <v/>
      </c>
      <c r="S330" t="str">
        <f t="shared" si="56"/>
        <v/>
      </c>
      <c r="T330" t="str">
        <f t="shared" si="63"/>
        <v/>
      </c>
      <c r="U330" t="str">
        <f t="shared" si="64"/>
        <v/>
      </c>
      <c r="V330" t="str">
        <f t="shared" si="57"/>
        <v/>
      </c>
      <c r="W330" t="str">
        <f t="shared" si="58"/>
        <v/>
      </c>
      <c r="X330" t="str">
        <f t="shared" si="65"/>
        <v/>
      </c>
      <c r="Y330" s="118" t="str">
        <f t="shared" si="66"/>
        <v/>
      </c>
    </row>
    <row r="331" spans="2:25" outlineLevel="1" x14ac:dyDescent="0.25">
      <c r="B331" s="115">
        <v>850</v>
      </c>
      <c r="C331" s="116">
        <f t="shared" si="48"/>
        <v>136.59574942187533</v>
      </c>
      <c r="E331" s="86"/>
      <c r="F331" s="118"/>
      <c r="H331" s="81" t="str">
        <f t="shared" si="49"/>
        <v/>
      </c>
      <c r="I331" s="117" t="str">
        <f t="shared" si="50"/>
        <v/>
      </c>
      <c r="J331" t="str">
        <f t="shared" si="59"/>
        <v/>
      </c>
      <c r="K331" t="str">
        <f t="shared" si="60"/>
        <v/>
      </c>
      <c r="L331" t="str">
        <f t="shared" si="51"/>
        <v/>
      </c>
      <c r="M331" t="str">
        <f t="shared" si="52"/>
        <v/>
      </c>
      <c r="N331" t="str">
        <f t="shared" si="61"/>
        <v/>
      </c>
      <c r="O331" t="str">
        <f t="shared" si="62"/>
        <v/>
      </c>
      <c r="P331" t="str">
        <f t="shared" si="53"/>
        <v/>
      </c>
      <c r="Q331" t="str">
        <f t="shared" si="54"/>
        <v/>
      </c>
      <c r="R331" t="str">
        <f t="shared" si="55"/>
        <v/>
      </c>
      <c r="S331" t="str">
        <f t="shared" si="56"/>
        <v/>
      </c>
      <c r="T331" t="str">
        <f t="shared" si="63"/>
        <v/>
      </c>
      <c r="U331" t="str">
        <f t="shared" si="64"/>
        <v/>
      </c>
      <c r="V331" t="str">
        <f t="shared" si="57"/>
        <v/>
      </c>
      <c r="W331" t="str">
        <f t="shared" si="58"/>
        <v/>
      </c>
      <c r="X331" t="str">
        <f t="shared" si="65"/>
        <v/>
      </c>
      <c r="Y331" s="118" t="str">
        <f t="shared" si="66"/>
        <v/>
      </c>
    </row>
    <row r="332" spans="2:25" outlineLevel="1" x14ac:dyDescent="0.25">
      <c r="B332" s="115">
        <v>860</v>
      </c>
      <c r="C332" s="116">
        <f t="shared" si="48"/>
        <v>145.79035998608015</v>
      </c>
      <c r="E332" s="86"/>
      <c r="F332" s="118"/>
      <c r="H332" s="81" t="str">
        <f t="shared" si="49"/>
        <v/>
      </c>
      <c r="I332" s="117" t="str">
        <f t="shared" si="50"/>
        <v/>
      </c>
      <c r="J332" t="str">
        <f t="shared" si="59"/>
        <v/>
      </c>
      <c r="K332" t="str">
        <f t="shared" si="60"/>
        <v/>
      </c>
      <c r="L332" t="str">
        <f t="shared" si="51"/>
        <v/>
      </c>
      <c r="M332" t="str">
        <f t="shared" si="52"/>
        <v/>
      </c>
      <c r="N332" t="str">
        <f t="shared" si="61"/>
        <v/>
      </c>
      <c r="O332" t="str">
        <f t="shared" si="62"/>
        <v/>
      </c>
      <c r="P332" t="str">
        <f t="shared" si="53"/>
        <v/>
      </c>
      <c r="Q332" t="str">
        <f t="shared" si="54"/>
        <v/>
      </c>
      <c r="R332" t="str">
        <f t="shared" si="55"/>
        <v/>
      </c>
      <c r="S332" t="str">
        <f t="shared" si="56"/>
        <v/>
      </c>
      <c r="T332" t="str">
        <f t="shared" si="63"/>
        <v/>
      </c>
      <c r="U332" t="str">
        <f t="shared" si="64"/>
        <v/>
      </c>
      <c r="V332" t="str">
        <f t="shared" si="57"/>
        <v/>
      </c>
      <c r="W332" t="str">
        <f t="shared" si="58"/>
        <v/>
      </c>
      <c r="X332" t="str">
        <f t="shared" si="65"/>
        <v/>
      </c>
      <c r="Y332" s="118" t="str">
        <f t="shared" si="66"/>
        <v/>
      </c>
    </row>
    <row r="333" spans="2:25" outlineLevel="1" x14ac:dyDescent="0.25">
      <c r="B333" s="115">
        <v>870</v>
      </c>
      <c r="C333" s="116">
        <f t="shared" si="48"/>
        <v>155.71290762678564</v>
      </c>
      <c r="E333" s="86"/>
      <c r="F333" s="118"/>
      <c r="H333" s="81" t="str">
        <f t="shared" si="49"/>
        <v/>
      </c>
      <c r="I333" s="117" t="str">
        <f t="shared" si="50"/>
        <v/>
      </c>
      <c r="J333" t="str">
        <f t="shared" si="59"/>
        <v/>
      </c>
      <c r="K333" t="str">
        <f t="shared" si="60"/>
        <v/>
      </c>
      <c r="L333" t="str">
        <f t="shared" si="51"/>
        <v/>
      </c>
      <c r="M333" t="str">
        <f t="shared" si="52"/>
        <v/>
      </c>
      <c r="N333" t="str">
        <f t="shared" si="61"/>
        <v/>
      </c>
      <c r="O333" t="str">
        <f t="shared" si="62"/>
        <v/>
      </c>
      <c r="P333" t="str">
        <f t="shared" si="53"/>
        <v/>
      </c>
      <c r="Q333" t="str">
        <f t="shared" si="54"/>
        <v/>
      </c>
      <c r="R333" t="str">
        <f t="shared" si="55"/>
        <v/>
      </c>
      <c r="S333" t="str">
        <f t="shared" si="56"/>
        <v/>
      </c>
      <c r="T333" t="str">
        <f t="shared" si="63"/>
        <v/>
      </c>
      <c r="U333" t="str">
        <f t="shared" si="64"/>
        <v/>
      </c>
      <c r="V333" t="str">
        <f t="shared" si="57"/>
        <v/>
      </c>
      <c r="W333" t="str">
        <f t="shared" si="58"/>
        <v/>
      </c>
      <c r="X333" t="str">
        <f t="shared" si="65"/>
        <v/>
      </c>
      <c r="Y333" s="118" t="str">
        <f t="shared" si="66"/>
        <v/>
      </c>
    </row>
    <row r="334" spans="2:25" outlineLevel="1" x14ac:dyDescent="0.25">
      <c r="B334" s="115">
        <v>880</v>
      </c>
      <c r="C334" s="116">
        <f t="shared" si="48"/>
        <v>166.41151752064025</v>
      </c>
      <c r="E334" s="86"/>
      <c r="F334" s="118"/>
      <c r="H334" s="81" t="str">
        <f t="shared" si="49"/>
        <v/>
      </c>
      <c r="I334" s="117" t="str">
        <f t="shared" si="50"/>
        <v/>
      </c>
      <c r="J334" t="str">
        <f t="shared" si="59"/>
        <v/>
      </c>
      <c r="K334" t="str">
        <f t="shared" si="60"/>
        <v/>
      </c>
      <c r="L334" t="str">
        <f t="shared" si="51"/>
        <v/>
      </c>
      <c r="M334" t="str">
        <f t="shared" si="52"/>
        <v/>
      </c>
      <c r="N334" t="str">
        <f t="shared" si="61"/>
        <v/>
      </c>
      <c r="O334" t="str">
        <f t="shared" si="62"/>
        <v/>
      </c>
      <c r="P334" t="str">
        <f t="shared" si="53"/>
        <v/>
      </c>
      <c r="Q334" t="str">
        <f t="shared" si="54"/>
        <v/>
      </c>
      <c r="R334" t="str">
        <f t="shared" si="55"/>
        <v/>
      </c>
      <c r="S334" t="str">
        <f t="shared" si="56"/>
        <v/>
      </c>
      <c r="T334" t="str">
        <f t="shared" si="63"/>
        <v/>
      </c>
      <c r="U334" t="str">
        <f t="shared" si="64"/>
        <v/>
      </c>
      <c r="V334" t="str">
        <f t="shared" si="57"/>
        <v/>
      </c>
      <c r="W334" t="str">
        <f t="shared" si="58"/>
        <v/>
      </c>
      <c r="X334" t="str">
        <f t="shared" si="65"/>
        <v/>
      </c>
      <c r="Y334" s="118" t="str">
        <f t="shared" si="66"/>
        <v/>
      </c>
    </row>
    <row r="335" spans="2:25" outlineLevel="1" x14ac:dyDescent="0.25">
      <c r="B335" s="115">
        <v>890</v>
      </c>
      <c r="C335" s="116">
        <f t="shared" si="48"/>
        <v>177.93639992409589</v>
      </c>
      <c r="E335" s="86"/>
      <c r="F335" s="118"/>
      <c r="H335" s="81" t="str">
        <f t="shared" si="49"/>
        <v/>
      </c>
      <c r="I335" s="117" t="str">
        <f t="shared" si="50"/>
        <v/>
      </c>
      <c r="J335" t="str">
        <f t="shared" si="59"/>
        <v/>
      </c>
      <c r="K335" t="str">
        <f t="shared" si="60"/>
        <v/>
      </c>
      <c r="L335" t="str">
        <f t="shared" si="51"/>
        <v/>
      </c>
      <c r="M335" t="str">
        <f t="shared" si="52"/>
        <v/>
      </c>
      <c r="N335" t="str">
        <f t="shared" si="61"/>
        <v/>
      </c>
      <c r="O335" t="str">
        <f t="shared" si="62"/>
        <v/>
      </c>
      <c r="P335" t="str">
        <f t="shared" si="53"/>
        <v/>
      </c>
      <c r="Q335" t="str">
        <f t="shared" si="54"/>
        <v/>
      </c>
      <c r="R335" t="str">
        <f t="shared" si="55"/>
        <v/>
      </c>
      <c r="S335" t="str">
        <f t="shared" si="56"/>
        <v/>
      </c>
      <c r="T335" t="str">
        <f t="shared" si="63"/>
        <v/>
      </c>
      <c r="U335" t="str">
        <f t="shared" si="64"/>
        <v/>
      </c>
      <c r="V335" t="str">
        <f t="shared" si="57"/>
        <v/>
      </c>
      <c r="W335" t="str">
        <f t="shared" si="58"/>
        <v/>
      </c>
      <c r="X335" t="str">
        <f t="shared" si="65"/>
        <v/>
      </c>
      <c r="Y335" s="118" t="str">
        <f t="shared" si="66"/>
        <v/>
      </c>
    </row>
    <row r="336" spans="2:25" outlineLevel="1" x14ac:dyDescent="0.25">
      <c r="B336" s="115">
        <v>900</v>
      </c>
      <c r="C336" s="116">
        <f t="shared" si="48"/>
        <v>190.33989350000047</v>
      </c>
      <c r="E336" s="86"/>
      <c r="F336" s="118"/>
      <c r="H336" s="81" t="str">
        <f t="shared" si="49"/>
        <v/>
      </c>
      <c r="I336" s="117" t="str">
        <f t="shared" si="50"/>
        <v/>
      </c>
      <c r="J336" t="str">
        <f t="shared" si="59"/>
        <v/>
      </c>
      <c r="K336" t="str">
        <f t="shared" si="60"/>
        <v/>
      </c>
      <c r="L336" t="str">
        <f t="shared" si="51"/>
        <v/>
      </c>
      <c r="M336" t="str">
        <f t="shared" si="52"/>
        <v/>
      </c>
      <c r="N336" t="str">
        <f t="shared" si="61"/>
        <v/>
      </c>
      <c r="O336" t="str">
        <f t="shared" si="62"/>
        <v/>
      </c>
      <c r="P336" t="str">
        <f t="shared" si="53"/>
        <v/>
      </c>
      <c r="Q336" t="str">
        <f t="shared" si="54"/>
        <v/>
      </c>
      <c r="R336" t="str">
        <f t="shared" si="55"/>
        <v/>
      </c>
      <c r="S336" t="str">
        <f t="shared" si="56"/>
        <v/>
      </c>
      <c r="T336" t="str">
        <f t="shared" si="63"/>
        <v/>
      </c>
      <c r="U336" t="str">
        <f t="shared" si="64"/>
        <v/>
      </c>
      <c r="V336" t="str">
        <f t="shared" si="57"/>
        <v/>
      </c>
      <c r="W336" t="str">
        <f t="shared" si="58"/>
        <v/>
      </c>
      <c r="X336" t="str">
        <f t="shared" si="65"/>
        <v/>
      </c>
      <c r="Y336" s="118" t="str">
        <f t="shared" si="66"/>
        <v/>
      </c>
    </row>
    <row r="337" spans="2:25" outlineLevel="1" x14ac:dyDescent="0.25">
      <c r="B337" s="115">
        <v>910</v>
      </c>
      <c r="C337" s="116">
        <f t="shared" si="48"/>
        <v>203.67650864420511</v>
      </c>
      <c r="E337" s="86"/>
      <c r="F337" s="118"/>
      <c r="H337" s="81" t="str">
        <f t="shared" si="49"/>
        <v/>
      </c>
      <c r="I337" s="117" t="str">
        <f t="shared" si="50"/>
        <v/>
      </c>
      <c r="J337" t="str">
        <f t="shared" si="59"/>
        <v/>
      </c>
      <c r="K337" t="str">
        <f t="shared" si="60"/>
        <v/>
      </c>
      <c r="L337" t="str">
        <f t="shared" si="51"/>
        <v/>
      </c>
      <c r="M337" t="str">
        <f t="shared" si="52"/>
        <v/>
      </c>
      <c r="N337" t="str">
        <f t="shared" si="61"/>
        <v/>
      </c>
      <c r="O337" t="str">
        <f t="shared" si="62"/>
        <v/>
      </c>
      <c r="P337" t="str">
        <f t="shared" si="53"/>
        <v/>
      </c>
      <c r="Q337" t="str">
        <f t="shared" si="54"/>
        <v/>
      </c>
      <c r="R337" t="str">
        <f t="shared" si="55"/>
        <v/>
      </c>
      <c r="S337" t="str">
        <f t="shared" si="56"/>
        <v/>
      </c>
      <c r="T337" t="str">
        <f t="shared" si="63"/>
        <v/>
      </c>
      <c r="U337" t="str">
        <f t="shared" si="64"/>
        <v/>
      </c>
      <c r="V337" t="str">
        <f t="shared" si="57"/>
        <v/>
      </c>
      <c r="W337" t="str">
        <f t="shared" si="58"/>
        <v/>
      </c>
      <c r="X337" t="str">
        <f t="shared" si="65"/>
        <v/>
      </c>
      <c r="Y337" s="118" t="str">
        <f t="shared" si="66"/>
        <v/>
      </c>
    </row>
    <row r="338" spans="2:25" outlineLevel="1" x14ac:dyDescent="0.25">
      <c r="B338" s="115">
        <v>920</v>
      </c>
      <c r="C338" s="116">
        <f t="shared" si="48"/>
        <v>218.00297081216058</v>
      </c>
      <c r="E338" s="86"/>
      <c r="F338" s="118"/>
      <c r="H338" s="81" t="str">
        <f t="shared" si="49"/>
        <v/>
      </c>
      <c r="I338" s="117" t="str">
        <f t="shared" si="50"/>
        <v/>
      </c>
      <c r="J338" t="str">
        <f t="shared" si="59"/>
        <v/>
      </c>
      <c r="K338" t="str">
        <f t="shared" si="60"/>
        <v/>
      </c>
      <c r="L338" t="str">
        <f t="shared" si="51"/>
        <v/>
      </c>
      <c r="M338" t="str">
        <f t="shared" si="52"/>
        <v/>
      </c>
      <c r="N338" t="str">
        <f t="shared" si="61"/>
        <v/>
      </c>
      <c r="O338" t="str">
        <f t="shared" si="62"/>
        <v/>
      </c>
      <c r="P338" t="str">
        <f t="shared" si="53"/>
        <v/>
      </c>
      <c r="Q338" t="str">
        <f t="shared" si="54"/>
        <v/>
      </c>
      <c r="R338" t="str">
        <f t="shared" si="55"/>
        <v/>
      </c>
      <c r="S338" t="str">
        <f t="shared" si="56"/>
        <v/>
      </c>
      <c r="T338" t="str">
        <f t="shared" si="63"/>
        <v/>
      </c>
      <c r="U338" t="str">
        <f t="shared" si="64"/>
        <v/>
      </c>
      <c r="V338" t="str">
        <f t="shared" si="57"/>
        <v/>
      </c>
      <c r="W338" t="str">
        <f t="shared" si="58"/>
        <v/>
      </c>
      <c r="X338" t="str">
        <f t="shared" si="65"/>
        <v/>
      </c>
      <c r="Y338" s="118" t="str">
        <f t="shared" si="66"/>
        <v/>
      </c>
    </row>
    <row r="339" spans="2:25" outlineLevel="1" x14ac:dyDescent="0.25">
      <c r="B339" s="115">
        <v>930</v>
      </c>
      <c r="C339" s="116">
        <f t="shared" si="48"/>
        <v>233.3782638455159</v>
      </c>
      <c r="E339" s="86"/>
      <c r="F339" s="118"/>
      <c r="H339" s="81" t="str">
        <f t="shared" si="49"/>
        <v/>
      </c>
      <c r="I339" s="117" t="str">
        <f t="shared" si="50"/>
        <v/>
      </c>
      <c r="J339" t="str">
        <f t="shared" si="59"/>
        <v/>
      </c>
      <c r="K339" t="str">
        <f t="shared" si="60"/>
        <v/>
      </c>
      <c r="L339" t="str">
        <f t="shared" si="51"/>
        <v/>
      </c>
      <c r="M339" t="str">
        <f t="shared" si="52"/>
        <v/>
      </c>
      <c r="N339" t="str">
        <f t="shared" si="61"/>
        <v/>
      </c>
      <c r="O339" t="str">
        <f t="shared" si="62"/>
        <v/>
      </c>
      <c r="P339" t="str">
        <f t="shared" si="53"/>
        <v/>
      </c>
      <c r="Q339" t="str">
        <f t="shared" si="54"/>
        <v/>
      </c>
      <c r="R339" t="str">
        <f t="shared" si="55"/>
        <v/>
      </c>
      <c r="S339" t="str">
        <f t="shared" si="56"/>
        <v/>
      </c>
      <c r="T339" t="str">
        <f t="shared" si="63"/>
        <v/>
      </c>
      <c r="U339" t="str">
        <f t="shared" si="64"/>
        <v/>
      </c>
      <c r="V339" t="str">
        <f t="shared" si="57"/>
        <v/>
      </c>
      <c r="W339" t="str">
        <f t="shared" si="58"/>
        <v/>
      </c>
      <c r="X339" t="str">
        <f t="shared" si="65"/>
        <v/>
      </c>
      <c r="Y339" s="118" t="str">
        <f t="shared" si="66"/>
        <v/>
      </c>
    </row>
    <row r="340" spans="2:25" outlineLevel="1" x14ac:dyDescent="0.25">
      <c r="B340" s="115">
        <v>940</v>
      </c>
      <c r="C340" s="116">
        <f t="shared" si="48"/>
        <v>249.86367329872155</v>
      </c>
      <c r="E340" s="86"/>
      <c r="F340" s="118"/>
      <c r="H340" s="81" t="str">
        <f t="shared" si="49"/>
        <v/>
      </c>
      <c r="I340" s="117" t="str">
        <f t="shared" si="50"/>
        <v/>
      </c>
      <c r="J340" t="str">
        <f t="shared" si="59"/>
        <v/>
      </c>
      <c r="K340" t="str">
        <f t="shared" si="60"/>
        <v/>
      </c>
      <c r="L340" t="str">
        <f t="shared" si="51"/>
        <v/>
      </c>
      <c r="M340" t="str">
        <f t="shared" si="52"/>
        <v/>
      </c>
      <c r="N340" t="str">
        <f t="shared" si="61"/>
        <v/>
      </c>
      <c r="O340" t="str">
        <f t="shared" si="62"/>
        <v/>
      </c>
      <c r="P340" t="str">
        <f t="shared" si="53"/>
        <v/>
      </c>
      <c r="Q340" t="str">
        <f t="shared" si="54"/>
        <v/>
      </c>
      <c r="R340" t="str">
        <f t="shared" si="55"/>
        <v/>
      </c>
      <c r="S340" t="str">
        <f t="shared" si="56"/>
        <v/>
      </c>
      <c r="T340" t="str">
        <f t="shared" si="63"/>
        <v/>
      </c>
      <c r="U340" t="str">
        <f t="shared" si="64"/>
        <v/>
      </c>
      <c r="V340" t="str">
        <f t="shared" si="57"/>
        <v/>
      </c>
      <c r="W340" t="str">
        <f t="shared" si="58"/>
        <v/>
      </c>
      <c r="X340" t="str">
        <f t="shared" si="65"/>
        <v/>
      </c>
      <c r="Y340" s="118" t="str">
        <f t="shared" si="66"/>
        <v/>
      </c>
    </row>
    <row r="341" spans="2:25" outlineLevel="1" x14ac:dyDescent="0.25">
      <c r="B341" s="115">
        <v>950</v>
      </c>
      <c r="C341" s="116">
        <f t="shared" si="48"/>
        <v>267.52282976562583</v>
      </c>
      <c r="E341" s="86"/>
      <c r="F341" s="118"/>
      <c r="H341" s="81" t="str">
        <f t="shared" si="49"/>
        <v/>
      </c>
      <c r="I341" s="117" t="str">
        <f t="shared" si="50"/>
        <v/>
      </c>
      <c r="J341" t="str">
        <f t="shared" si="59"/>
        <v/>
      </c>
      <c r="K341" t="str">
        <f t="shared" si="60"/>
        <v/>
      </c>
      <c r="L341" t="str">
        <f t="shared" si="51"/>
        <v/>
      </c>
      <c r="M341" t="str">
        <f t="shared" si="52"/>
        <v/>
      </c>
      <c r="N341" t="str">
        <f t="shared" si="61"/>
        <v/>
      </c>
      <c r="O341" t="str">
        <f t="shared" si="62"/>
        <v/>
      </c>
      <c r="P341" t="str">
        <f t="shared" si="53"/>
        <v/>
      </c>
      <c r="Q341" t="str">
        <f t="shared" si="54"/>
        <v/>
      </c>
      <c r="R341" t="str">
        <f t="shared" si="55"/>
        <v/>
      </c>
      <c r="S341" t="str">
        <f t="shared" si="56"/>
        <v/>
      </c>
      <c r="T341" t="str">
        <f t="shared" si="63"/>
        <v/>
      </c>
      <c r="U341" t="str">
        <f t="shared" si="64"/>
        <v/>
      </c>
      <c r="V341" t="str">
        <f t="shared" si="57"/>
        <v/>
      </c>
      <c r="W341" t="str">
        <f t="shared" si="58"/>
        <v/>
      </c>
      <c r="X341" t="str">
        <f t="shared" si="65"/>
        <v/>
      </c>
      <c r="Y341" s="118" t="str">
        <f t="shared" si="66"/>
        <v/>
      </c>
    </row>
    <row r="342" spans="2:25" outlineLevel="1" x14ac:dyDescent="0.25">
      <c r="B342" s="115">
        <v>960</v>
      </c>
      <c r="C342" s="116">
        <f t="shared" ref="C342:C346" si="67">$B$235+$C$235*B342+$D$235*B342^2+$E$235*B342^3+$F$235*B342^4+$G$235*B342^5</f>
        <v>286.42175220608078</v>
      </c>
      <c r="E342" s="86"/>
      <c r="F342" s="118"/>
      <c r="H342" s="81" t="str">
        <f t="shared" si="49"/>
        <v/>
      </c>
      <c r="I342" s="117" t="str">
        <f t="shared" si="50"/>
        <v/>
      </c>
      <c r="J342" t="str">
        <f t="shared" si="59"/>
        <v/>
      </c>
      <c r="K342" t="str">
        <f t="shared" si="60"/>
        <v/>
      </c>
      <c r="L342" t="str">
        <f t="shared" si="51"/>
        <v/>
      </c>
      <c r="M342" t="str">
        <f t="shared" si="52"/>
        <v/>
      </c>
      <c r="N342" t="str">
        <f t="shared" si="61"/>
        <v/>
      </c>
      <c r="O342" t="str">
        <f t="shared" si="62"/>
        <v/>
      </c>
      <c r="P342" t="str">
        <f t="shared" si="53"/>
        <v/>
      </c>
      <c r="Q342" t="str">
        <f t="shared" si="54"/>
        <v/>
      </c>
      <c r="R342" t="str">
        <f t="shared" si="55"/>
        <v/>
      </c>
      <c r="S342" t="str">
        <f t="shared" si="56"/>
        <v/>
      </c>
      <c r="T342" t="str">
        <f t="shared" si="63"/>
        <v/>
      </c>
      <c r="U342" t="str">
        <f t="shared" si="64"/>
        <v/>
      </c>
      <c r="V342" t="str">
        <f t="shared" si="57"/>
        <v/>
      </c>
      <c r="W342" t="str">
        <f t="shared" si="58"/>
        <v/>
      </c>
      <c r="X342" t="str">
        <f t="shared" si="65"/>
        <v/>
      </c>
      <c r="Y342" s="118" t="str">
        <f t="shared" si="66"/>
        <v/>
      </c>
    </row>
    <row r="343" spans="2:25" outlineLevel="1" x14ac:dyDescent="0.25">
      <c r="B343" s="115">
        <v>970</v>
      </c>
      <c r="C343" s="116">
        <f t="shared" si="67"/>
        <v>306.62889127253629</v>
      </c>
      <c r="E343" s="86"/>
      <c r="F343" s="118"/>
      <c r="H343" s="81" t="str">
        <f t="shared" si="49"/>
        <v/>
      </c>
      <c r="I343" s="117" t="str">
        <f t="shared" si="50"/>
        <v/>
      </c>
      <c r="J343" t="str">
        <f t="shared" si="59"/>
        <v/>
      </c>
      <c r="K343" t="str">
        <f t="shared" si="60"/>
        <v/>
      </c>
      <c r="L343" t="str">
        <f t="shared" si="51"/>
        <v/>
      </c>
      <c r="M343" t="str">
        <f t="shared" si="52"/>
        <v/>
      </c>
      <c r="N343" t="str">
        <f t="shared" si="61"/>
        <v/>
      </c>
      <c r="O343" t="str">
        <f t="shared" si="62"/>
        <v/>
      </c>
      <c r="P343" t="str">
        <f t="shared" si="53"/>
        <v/>
      </c>
      <c r="Q343" t="str">
        <f t="shared" si="54"/>
        <v/>
      </c>
      <c r="R343" t="str">
        <f t="shared" si="55"/>
        <v/>
      </c>
      <c r="S343" t="str">
        <f t="shared" si="56"/>
        <v/>
      </c>
      <c r="T343" t="str">
        <f t="shared" si="63"/>
        <v/>
      </c>
      <c r="U343" t="str">
        <f t="shared" si="64"/>
        <v/>
      </c>
      <c r="V343" t="str">
        <f t="shared" si="57"/>
        <v/>
      </c>
      <c r="W343" t="str">
        <f t="shared" si="58"/>
        <v/>
      </c>
      <c r="X343" t="str">
        <f t="shared" si="65"/>
        <v/>
      </c>
      <c r="Y343" s="118" t="str">
        <f t="shared" si="66"/>
        <v/>
      </c>
    </row>
    <row r="344" spans="2:25" outlineLevel="1" x14ac:dyDescent="0.25">
      <c r="B344" s="115">
        <v>980</v>
      </c>
      <c r="C344" s="116">
        <f t="shared" si="67"/>
        <v>328.21517263664055</v>
      </c>
      <c r="E344" s="86"/>
      <c r="F344" s="118"/>
      <c r="H344" s="81" t="str">
        <f t="shared" si="49"/>
        <v/>
      </c>
      <c r="I344" s="117" t="str">
        <f t="shared" si="50"/>
        <v/>
      </c>
      <c r="J344" t="str">
        <f t="shared" si="59"/>
        <v/>
      </c>
      <c r="K344" t="str">
        <f t="shared" si="60"/>
        <v/>
      </c>
      <c r="L344" t="str">
        <f t="shared" si="51"/>
        <v/>
      </c>
      <c r="M344" t="str">
        <f t="shared" si="52"/>
        <v/>
      </c>
      <c r="N344" t="str">
        <f t="shared" si="61"/>
        <v/>
      </c>
      <c r="O344" t="str">
        <f t="shared" si="62"/>
        <v/>
      </c>
      <c r="P344" t="str">
        <f t="shared" si="53"/>
        <v/>
      </c>
      <c r="Q344" t="str">
        <f t="shared" si="54"/>
        <v/>
      </c>
      <c r="R344" t="str">
        <f t="shared" si="55"/>
        <v/>
      </c>
      <c r="S344" t="str">
        <f t="shared" si="56"/>
        <v/>
      </c>
      <c r="T344" t="str">
        <f t="shared" si="63"/>
        <v/>
      </c>
      <c r="U344" t="str">
        <f t="shared" si="64"/>
        <v/>
      </c>
      <c r="V344" t="str">
        <f t="shared" si="57"/>
        <v/>
      </c>
      <c r="W344" t="str">
        <f t="shared" si="58"/>
        <v/>
      </c>
      <c r="X344" t="str">
        <f t="shared" si="65"/>
        <v/>
      </c>
      <c r="Y344" s="118" t="str">
        <f t="shared" si="66"/>
        <v/>
      </c>
    </row>
    <row r="345" spans="2:25" outlineLevel="1" x14ac:dyDescent="0.25">
      <c r="B345" s="115">
        <v>990</v>
      </c>
      <c r="C345" s="116">
        <f t="shared" si="67"/>
        <v>351.25404031584503</v>
      </c>
      <c r="E345" s="86"/>
      <c r="F345" s="118"/>
      <c r="H345" s="81" t="str">
        <f t="shared" si="49"/>
        <v/>
      </c>
      <c r="I345" s="117" t="str">
        <f t="shared" si="50"/>
        <v/>
      </c>
      <c r="J345" t="str">
        <f t="shared" si="59"/>
        <v/>
      </c>
      <c r="K345" t="str">
        <f t="shared" si="60"/>
        <v/>
      </c>
      <c r="L345" t="str">
        <f t="shared" si="51"/>
        <v/>
      </c>
      <c r="M345" t="str">
        <f t="shared" si="52"/>
        <v/>
      </c>
      <c r="N345" t="str">
        <f t="shared" si="61"/>
        <v/>
      </c>
      <c r="O345" t="str">
        <f t="shared" si="62"/>
        <v/>
      </c>
      <c r="P345" t="str">
        <f t="shared" si="53"/>
        <v/>
      </c>
      <c r="Q345" t="str">
        <f t="shared" si="54"/>
        <v/>
      </c>
      <c r="R345" t="str">
        <f t="shared" si="55"/>
        <v/>
      </c>
      <c r="S345" t="str">
        <f t="shared" si="56"/>
        <v/>
      </c>
      <c r="T345" t="str">
        <f t="shared" si="63"/>
        <v/>
      </c>
      <c r="U345" t="str">
        <f t="shared" si="64"/>
        <v/>
      </c>
      <c r="V345" t="str">
        <f t="shared" si="57"/>
        <v/>
      </c>
      <c r="W345" t="str">
        <f t="shared" si="58"/>
        <v/>
      </c>
      <c r="X345" t="str">
        <f t="shared" si="65"/>
        <v/>
      </c>
      <c r="Y345" s="118" t="str">
        <f t="shared" si="66"/>
        <v/>
      </c>
    </row>
    <row r="346" spans="2:25" outlineLevel="1" x14ac:dyDescent="0.25">
      <c r="B346" s="119">
        <v>1000</v>
      </c>
      <c r="C346" s="120">
        <f t="shared" si="67"/>
        <v>375.82150000000047</v>
      </c>
      <c r="E346" s="90"/>
      <c r="F346" s="121"/>
      <c r="H346" s="88" t="str">
        <f t="shared" si="49"/>
        <v/>
      </c>
      <c r="I346" s="122" t="str">
        <f t="shared" si="50"/>
        <v/>
      </c>
      <c r="J346" s="123" t="str">
        <f t="shared" si="59"/>
        <v/>
      </c>
      <c r="K346" s="123" t="str">
        <f t="shared" si="60"/>
        <v/>
      </c>
      <c r="L346" s="123" t="str">
        <f t="shared" si="51"/>
        <v/>
      </c>
      <c r="M346" s="123" t="str">
        <f t="shared" si="52"/>
        <v/>
      </c>
      <c r="N346" s="123" t="str">
        <f t="shared" si="61"/>
        <v/>
      </c>
      <c r="O346" s="123" t="str">
        <f t="shared" si="62"/>
        <v/>
      </c>
      <c r="P346" s="123" t="str">
        <f t="shared" si="53"/>
        <v/>
      </c>
      <c r="Q346" s="123" t="str">
        <f t="shared" si="54"/>
        <v/>
      </c>
      <c r="R346" s="123" t="str">
        <f t="shared" si="55"/>
        <v/>
      </c>
      <c r="S346" s="123" t="str">
        <f t="shared" si="56"/>
        <v/>
      </c>
      <c r="T346" s="123" t="str">
        <f t="shared" si="63"/>
        <v/>
      </c>
      <c r="U346" s="123" t="str">
        <f t="shared" si="64"/>
        <v/>
      </c>
      <c r="V346" s="123" t="str">
        <f t="shared" si="57"/>
        <v/>
      </c>
      <c r="W346" s="123" t="str">
        <f t="shared" si="58"/>
        <v/>
      </c>
      <c r="X346" s="123" t="str">
        <f t="shared" si="65"/>
        <v/>
      </c>
      <c r="Y346" s="121" t="str">
        <f t="shared" si="66"/>
        <v/>
      </c>
    </row>
    <row r="347" spans="2:25" outlineLevel="1" x14ac:dyDescent="0.25">
      <c r="B347" s="63"/>
      <c r="G347" s="117"/>
    </row>
    <row r="348" spans="2:25" outlineLevel="1" x14ac:dyDescent="0.25">
      <c r="C348" t="s">
        <v>154</v>
      </c>
      <c r="D348" s="218" t="s">
        <v>155</v>
      </c>
      <c r="E348" s="218"/>
      <c r="F348" s="219" t="s">
        <v>156</v>
      </c>
      <c r="G348" s="219"/>
      <c r="H348" s="219"/>
      <c r="I348" s="219"/>
      <c r="K348" t="s">
        <v>169</v>
      </c>
    </row>
    <row r="349" spans="2:25" outlineLevel="1" x14ac:dyDescent="0.25">
      <c r="B349" s="75" t="s">
        <v>4</v>
      </c>
      <c r="C349" s="124" t="s">
        <v>94</v>
      </c>
      <c r="D349" s="76" t="s">
        <v>93</v>
      </c>
      <c r="E349" s="77" t="s">
        <v>94</v>
      </c>
      <c r="F349" s="75" t="s">
        <v>4</v>
      </c>
      <c r="G349" s="76" t="s">
        <v>158</v>
      </c>
      <c r="H349" s="125" t="s">
        <v>157</v>
      </c>
      <c r="I349" s="126" t="s">
        <v>159</v>
      </c>
      <c r="K349" t="s">
        <v>4</v>
      </c>
    </row>
    <row r="350" spans="2:25" outlineLevel="1" x14ac:dyDescent="0.25">
      <c r="B350" s="127">
        <f>IF(AND(E246&lt;&gt;"",C350&lt;=100,D350&lt;=100),E246,"")</f>
        <v>110</v>
      </c>
      <c r="C350" s="128" cm="1">
        <f t="array" ref="C350">IF(F246&lt;&gt;"",INDEX(J246:Y246,$E$240)*100,"")</f>
        <v>2.475303218276545E-2</v>
      </c>
      <c r="D350" s="63">
        <f t="shared" ref="D350:D381" si="68">IF(F246&lt;&gt;"",F246,"")</f>
        <v>3.4650814204994926E-2</v>
      </c>
      <c r="E350" s="116">
        <f t="shared" ref="E350:E381" si="69">IF(AND(C350&lt;&gt;"",C350&lt;=100),C350,0)</f>
        <v>2.475303218276545E-2</v>
      </c>
      <c r="F350" s="127">
        <f t="shared" ref="F350:F381" si="70">IF(B350="",NA(),B350)</f>
        <v>110</v>
      </c>
      <c r="G350" s="63">
        <f t="shared" ref="G350:G381" si="71">IF(D350="",NA(),D350)</f>
        <v>3.4650814204994926E-2</v>
      </c>
      <c r="H350" s="63">
        <f>IF(F350="",NA(),$B$556+$C$556*((F350-500)/500)+$D$556*((F350-500)/500)^2+$E$556*((F350-500)/500)^3+$F$556*((F350-500)/500)^4+$G$556*((F350-500)/500)^5)</f>
        <v>-0.43838236076507542</v>
      </c>
      <c r="I350" s="116" t="e">
        <f>IF(OR(H350&lt;0,H350&gt;100),NA(),H350)</f>
        <v>#N/A</v>
      </c>
      <c r="K350">
        <f>IF(B350&lt;&gt;"",(B350-500)/500,"")</f>
        <v>-0.78</v>
      </c>
      <c r="L350">
        <f>IF(F350="",NA(),$B$556+$C$556*((F350-500)/500)+$D$556*((F350-500)/500)^2+$E$556*((F350-500)/500)^3+$F$556*((F350-500)/500)^4+$G$556*((F350-500)/500)^5)</f>
        <v>-0.43838236076507542</v>
      </c>
    </row>
    <row r="351" spans="2:25" outlineLevel="1" x14ac:dyDescent="0.25">
      <c r="B351" s="127">
        <f t="shared" ref="B351:B414" si="72">IF(AND(E247&lt;&gt;"",C351&lt;=100,D351&lt;=100),E247,"")</f>
        <v>120</v>
      </c>
      <c r="C351" s="128" cm="1">
        <f t="array" ref="C351">IF(F247&lt;&gt;"",INDEX(J247:Y247,$E$240)*100,"")</f>
        <v>0.68830240637688433</v>
      </c>
      <c r="D351" s="63">
        <f t="shared" si="68"/>
        <v>0.96097759615999312</v>
      </c>
      <c r="E351" s="116">
        <f t="shared" si="69"/>
        <v>0.68830240637688433</v>
      </c>
      <c r="F351" s="127">
        <f t="shared" si="70"/>
        <v>120</v>
      </c>
      <c r="G351" s="63">
        <f t="shared" si="71"/>
        <v>0.96097759615999312</v>
      </c>
      <c r="H351" s="63">
        <f t="shared" ref="H351:H414" si="73">IF(F351="",NA(),$B$556+$C$556*((F351-500)/500)+$D$556*((F351-500)/500)^2+$E$556*((F351-500)/500)^3+$F$556*((F351-500)/500)^4+$G$556*((F351-500)/500)^5)</f>
        <v>0.48353207632656847</v>
      </c>
      <c r="I351" s="116">
        <f t="shared" ref="I351:I414" si="74">IF(OR(H351&lt;0,H351&gt;100),NA(),H351)</f>
        <v>0.48353207632656847</v>
      </c>
      <c r="K351">
        <f t="shared" ref="K351:K414" si="75">IF(B351&lt;&gt;"",(B351-500)/500,"")</f>
        <v>-0.76</v>
      </c>
      <c r="L351">
        <f t="shared" ref="L351:L405" si="76">IF(F351="",NA(),$B$556+$C$556*((F351-500)/500)+$D$556*((F351-500)/500)^2+$E$556*((F351-500)/500)^3+$F$556*((F351-500)/500)^4+$G$556*((F351-500)/500)^5)</f>
        <v>0.48353207632656847</v>
      </c>
    </row>
    <row r="352" spans="2:25" outlineLevel="1" x14ac:dyDescent="0.25">
      <c r="B352" s="127">
        <f t="shared" si="72"/>
        <v>130</v>
      </c>
      <c r="C352" s="128" cm="1">
        <f t="array" ref="C352">IF(F248&lt;&gt;"",INDEX(J248:Y248,$E$240)*100,"")</f>
        <v>1.2881856965194338</v>
      </c>
      <c r="D352" s="63">
        <f t="shared" si="68"/>
        <v>1.7942148475150006</v>
      </c>
      <c r="E352" s="116">
        <f t="shared" si="69"/>
        <v>1.2881856965194338</v>
      </c>
      <c r="F352" s="127">
        <f t="shared" si="70"/>
        <v>130</v>
      </c>
      <c r="G352" s="63">
        <f t="shared" si="71"/>
        <v>1.7942148475150006</v>
      </c>
      <c r="H352" s="63">
        <f t="shared" si="73"/>
        <v>1.2736836248382701</v>
      </c>
      <c r="I352" s="116">
        <f t="shared" si="74"/>
        <v>1.2736836248382701</v>
      </c>
      <c r="K352">
        <f t="shared" si="75"/>
        <v>-0.74</v>
      </c>
      <c r="L352">
        <f t="shared" si="76"/>
        <v>1.2736836248382701</v>
      </c>
    </row>
    <row r="353" spans="2:12" outlineLevel="1" x14ac:dyDescent="0.25">
      <c r="B353" s="127">
        <f t="shared" si="72"/>
        <v>140</v>
      </c>
      <c r="C353" s="128" cm="1">
        <f t="array" ref="C353">IF(F249&lt;&gt;"",INDEX(J249:Y249,$E$240)*100,"")</f>
        <v>1.8336534675267906</v>
      </c>
      <c r="D353" s="63">
        <f t="shared" si="68"/>
        <v>2.5484231547199951</v>
      </c>
      <c r="E353" s="116">
        <f t="shared" si="69"/>
        <v>1.8336534675267906</v>
      </c>
      <c r="F353" s="127">
        <f t="shared" si="70"/>
        <v>140</v>
      </c>
      <c r="G353" s="63">
        <f t="shared" si="71"/>
        <v>2.5484231547199951</v>
      </c>
      <c r="H353" s="63">
        <f t="shared" si="73"/>
        <v>1.9519727970710328</v>
      </c>
      <c r="I353" s="116">
        <f t="shared" si="74"/>
        <v>1.9519727970710328</v>
      </c>
      <c r="K353">
        <f t="shared" si="75"/>
        <v>-0.72</v>
      </c>
      <c r="L353">
        <f t="shared" si="76"/>
        <v>1.9519727970710328</v>
      </c>
    </row>
    <row r="354" spans="2:12" outlineLevel="1" x14ac:dyDescent="0.25">
      <c r="B354" s="127">
        <f t="shared" si="72"/>
        <v>150</v>
      </c>
      <c r="C354" s="128" cm="1">
        <f t="array" ref="C354">IF(F250&lt;&gt;"",INDEX(J250:Y250,$E$240)*100,"")</f>
        <v>2.333393226061057</v>
      </c>
      <c r="D354" s="63">
        <f t="shared" si="68"/>
        <v>3.2365420156249938</v>
      </c>
      <c r="E354" s="116">
        <f t="shared" si="69"/>
        <v>2.333393226061057</v>
      </c>
      <c r="F354" s="127">
        <f t="shared" si="70"/>
        <v>150</v>
      </c>
      <c r="G354" s="63">
        <f t="shared" si="71"/>
        <v>3.2365420156249938</v>
      </c>
      <c r="H354" s="63">
        <f t="shared" si="73"/>
        <v>2.5366753249425464</v>
      </c>
      <c r="I354" s="116">
        <f t="shared" si="74"/>
        <v>2.5366753249425464</v>
      </c>
      <c r="K354">
        <f t="shared" si="75"/>
        <v>-0.7</v>
      </c>
      <c r="L354">
        <f t="shared" si="76"/>
        <v>2.5366753249425464</v>
      </c>
    </row>
    <row r="355" spans="2:12" outlineLevel="1" x14ac:dyDescent="0.25">
      <c r="B355" s="127">
        <f t="shared" si="72"/>
        <v>160</v>
      </c>
      <c r="C355" s="128" cm="1">
        <f t="array" ref="C355">IF(F251&lt;&gt;"",INDEX(J251:Y251,$E$240)*100,"")</f>
        <v>2.7955089198845462</v>
      </c>
      <c r="D355" s="63">
        <f t="shared" si="68"/>
        <v>3.87043316607999</v>
      </c>
      <c r="E355" s="116">
        <f t="shared" si="69"/>
        <v>2.7955089198845462</v>
      </c>
      <c r="F355" s="127">
        <f t="shared" si="70"/>
        <v>160</v>
      </c>
      <c r="G355" s="63">
        <f t="shared" si="71"/>
        <v>3.87043316607999</v>
      </c>
      <c r="H355" s="63">
        <f t="shared" si="73"/>
        <v>3.0445050582842619</v>
      </c>
      <c r="I355" s="116">
        <f t="shared" si="74"/>
        <v>3.0445050582842619</v>
      </c>
      <c r="K355">
        <f t="shared" si="75"/>
        <v>-0.68</v>
      </c>
      <c r="L355">
        <f t="shared" si="76"/>
        <v>3.0445050582842619</v>
      </c>
    </row>
    <row r="356" spans="2:12" outlineLevel="1" x14ac:dyDescent="0.25">
      <c r="B356" s="127">
        <f t="shared" si="72"/>
        <v>170</v>
      </c>
      <c r="C356" s="128" cm="1">
        <f t="array" ref="C356">IF(F252&lt;&gt;"",INDEX(J252:Y252,$E$240)*100,"")</f>
        <v>3.2275104432243471</v>
      </c>
      <c r="D356" s="63">
        <f t="shared" si="68"/>
        <v>4.4609239065350019</v>
      </c>
      <c r="E356" s="116">
        <f t="shared" si="69"/>
        <v>3.2275104432243471</v>
      </c>
      <c r="F356" s="127">
        <f t="shared" si="70"/>
        <v>170</v>
      </c>
      <c r="G356" s="63">
        <f t="shared" si="71"/>
        <v>4.4609239065350019</v>
      </c>
      <c r="H356" s="63">
        <f t="shared" si="73"/>
        <v>3.4906768631386385</v>
      </c>
      <c r="I356" s="116">
        <f t="shared" si="74"/>
        <v>3.4906768631386385</v>
      </c>
      <c r="K356">
        <f t="shared" si="75"/>
        <v>-0.66</v>
      </c>
      <c r="L356">
        <f t="shared" si="76"/>
        <v>3.4906768631386385</v>
      </c>
    </row>
    <row r="357" spans="2:12" outlineLevel="1" x14ac:dyDescent="0.25">
      <c r="B357" s="127">
        <f t="shared" si="72"/>
        <v>180</v>
      </c>
      <c r="C357" s="128" cm="1">
        <f t="array" ref="C357">IF(F253&lt;&gt;"",INDEX(J253:Y253,$E$240)*100,"")</f>
        <v>3.6363116431347771</v>
      </c>
      <c r="D357" s="63">
        <f t="shared" si="68"/>
        <v>5.0178504286399974</v>
      </c>
      <c r="E357" s="116">
        <f t="shared" si="69"/>
        <v>3.6363116431347771</v>
      </c>
      <c r="F357" s="127">
        <f t="shared" si="70"/>
        <v>180</v>
      </c>
      <c r="G357" s="63">
        <f t="shared" si="71"/>
        <v>5.0178504286399974</v>
      </c>
      <c r="H357" s="63">
        <f t="shared" si="73"/>
        <v>3.8889695200562215</v>
      </c>
      <c r="I357" s="116">
        <f t="shared" si="74"/>
        <v>3.8889695200562215</v>
      </c>
      <c r="K357">
        <f t="shared" si="75"/>
        <v>-0.64</v>
      </c>
      <c r="L357">
        <f t="shared" si="76"/>
        <v>3.8889695200562215</v>
      </c>
    </row>
    <row r="358" spans="2:12" outlineLevel="1" x14ac:dyDescent="0.25">
      <c r="B358" s="127">
        <f t="shared" si="72"/>
        <v>190</v>
      </c>
      <c r="C358" s="128" cm="1">
        <f t="array" ref="C358">IF(F254&lt;&gt;"",INDEX(J254:Y254,$E$240)*100,"")</f>
        <v>4.0282354271575365</v>
      </c>
      <c r="D358" s="63">
        <f t="shared" si="68"/>
        <v>5.5501011418450004</v>
      </c>
      <c r="E358" s="116">
        <f t="shared" si="69"/>
        <v>4.0282354271575365</v>
      </c>
      <c r="F358" s="127">
        <f t="shared" si="70"/>
        <v>190</v>
      </c>
      <c r="G358" s="63">
        <f t="shared" si="71"/>
        <v>5.5501011418450004</v>
      </c>
      <c r="H358" s="63">
        <f t="shared" si="73"/>
        <v>4.2517886223928922</v>
      </c>
      <c r="I358" s="116">
        <f t="shared" si="74"/>
        <v>4.2517886223928922</v>
      </c>
      <c r="K358">
        <f t="shared" si="75"/>
        <v>-0.62</v>
      </c>
      <c r="L358">
        <f t="shared" si="76"/>
        <v>4.2517886223928922</v>
      </c>
    </row>
    <row r="359" spans="2:12" outlineLevel="1" x14ac:dyDescent="0.25">
      <c r="B359" s="127">
        <f t="shared" si="72"/>
        <v>200</v>
      </c>
      <c r="C359" s="128" cm="1">
        <f t="array" ref="C359">IF(F255&lt;&gt;"",INDEX(J255:Y255,$E$240)*100,"")</f>
        <v>4.4090246993074356</v>
      </c>
      <c r="D359" s="63">
        <f t="shared" si="68"/>
        <v>6.0656600000000047</v>
      </c>
      <c r="E359" s="116">
        <f t="shared" si="69"/>
        <v>4.4090246993074356</v>
      </c>
      <c r="F359" s="127">
        <f t="shared" si="70"/>
        <v>200</v>
      </c>
      <c r="G359" s="63">
        <f t="shared" si="71"/>
        <v>6.0656600000000047</v>
      </c>
      <c r="H359" s="63">
        <f t="shared" si="73"/>
        <v>4.5902294746069998</v>
      </c>
      <c r="I359" s="116">
        <f t="shared" si="74"/>
        <v>4.5902294746069998</v>
      </c>
      <c r="K359">
        <f t="shared" si="75"/>
        <v>-0.6</v>
      </c>
      <c r="L359">
        <f t="shared" si="76"/>
        <v>4.5902294746069998</v>
      </c>
    </row>
    <row r="360" spans="2:12" outlineLevel="1" x14ac:dyDescent="0.25">
      <c r="B360" s="127">
        <f t="shared" si="72"/>
        <v>210</v>
      </c>
      <c r="C360" s="128" cm="1">
        <f t="array" ref="C360">IF(F256&lt;&gt;"",INDEX(J256:Y256,$E$240)*100,"")</f>
        <v>4.7838579900748144</v>
      </c>
      <c r="D360" s="63">
        <f t="shared" si="68"/>
        <v>6.5716498279549933</v>
      </c>
      <c r="E360" s="116">
        <f t="shared" si="69"/>
        <v>4.7838579900748144</v>
      </c>
      <c r="F360" s="127">
        <f t="shared" si="70"/>
        <v>210</v>
      </c>
      <c r="G360" s="63">
        <f t="shared" si="71"/>
        <v>6.5716498279549933</v>
      </c>
      <c r="H360" s="63">
        <f t="shared" si="73"/>
        <v>4.9141399905565493</v>
      </c>
      <c r="I360" s="116">
        <f t="shared" si="74"/>
        <v>4.9141399905565493</v>
      </c>
      <c r="K360">
        <f t="shared" si="75"/>
        <v>-0.57999999999999996</v>
      </c>
      <c r="L360">
        <f t="shared" si="76"/>
        <v>4.9141399905565493</v>
      </c>
    </row>
    <row r="361" spans="2:12" outlineLevel="1" x14ac:dyDescent="0.25">
      <c r="B361" s="127">
        <f t="shared" si="72"/>
        <v>220</v>
      </c>
      <c r="C361" s="128" cm="1">
        <f t="array" ref="C361">IF(F257&lt;&gt;"",INDEX(J257:Y257,$E$240)*100,"")</f>
        <v>5.1573687891734474</v>
      </c>
      <c r="D361" s="63">
        <f t="shared" si="68"/>
        <v>7.0743756481599895</v>
      </c>
      <c r="E361" s="116">
        <f t="shared" si="69"/>
        <v>5.1573687891734474</v>
      </c>
      <c r="F361" s="127">
        <f t="shared" si="70"/>
        <v>220</v>
      </c>
      <c r="G361" s="63">
        <f t="shared" si="71"/>
        <v>7.0743756481599895</v>
      </c>
      <c r="H361" s="63">
        <f t="shared" si="73"/>
        <v>5.2321835917963497</v>
      </c>
      <c r="I361" s="116">
        <f t="shared" si="74"/>
        <v>5.2321835917963497</v>
      </c>
      <c r="K361">
        <f t="shared" si="75"/>
        <v>-0.56000000000000005</v>
      </c>
      <c r="L361">
        <f t="shared" si="76"/>
        <v>5.2321835917963497</v>
      </c>
    </row>
    <row r="362" spans="2:12" outlineLevel="1" x14ac:dyDescent="0.25">
      <c r="B362" s="127">
        <f t="shared" si="72"/>
        <v>230</v>
      </c>
      <c r="C362" s="128" cm="1">
        <f t="array" ref="C362">IF(F258&lt;&gt;"",INDEX(J258:Y258,$E$240)*100,"")</f>
        <v>5.5336677313779763</v>
      </c>
      <c r="D362" s="63">
        <f t="shared" si="68"/>
        <v>7.5793680072650034</v>
      </c>
      <c r="E362" s="116">
        <f t="shared" si="69"/>
        <v>5.5336677313779763</v>
      </c>
      <c r="F362" s="127">
        <f t="shared" si="70"/>
        <v>230</v>
      </c>
      <c r="G362" s="63">
        <f t="shared" si="71"/>
        <v>7.5793680072650034</v>
      </c>
      <c r="H362" s="63">
        <f t="shared" si="73"/>
        <v>5.5519021058752207</v>
      </c>
      <c r="I362" s="116">
        <f t="shared" si="74"/>
        <v>5.5519021058752207</v>
      </c>
      <c r="K362">
        <f t="shared" si="75"/>
        <v>-0.54</v>
      </c>
      <c r="L362">
        <f t="shared" si="76"/>
        <v>5.5519021058752207</v>
      </c>
    </row>
    <row r="363" spans="2:12" outlineLevel="1" x14ac:dyDescent="0.25">
      <c r="B363" s="127">
        <f t="shared" si="72"/>
        <v>240</v>
      </c>
      <c r="C363" s="128" cm="1">
        <f t="array" ref="C363">IF(F259&lt;&gt;"",INDEX(J259:Y259,$E$240)*100,"")</f>
        <v>5.9163669217344621</v>
      </c>
      <c r="D363" s="63">
        <f t="shared" si="68"/>
        <v>8.091426302719988</v>
      </c>
      <c r="E363" s="116">
        <f t="shared" si="69"/>
        <v>5.9163669217344621</v>
      </c>
      <c r="F363" s="127">
        <f t="shared" si="70"/>
        <v>240</v>
      </c>
      <c r="G363" s="63">
        <f t="shared" si="71"/>
        <v>8.091426302719988</v>
      </c>
      <c r="H363" s="63">
        <f t="shared" si="73"/>
        <v>5.8797786646331156</v>
      </c>
      <c r="I363" s="116">
        <f t="shared" si="74"/>
        <v>5.8797786646331156</v>
      </c>
      <c r="K363">
        <f t="shared" si="75"/>
        <v>-0.52</v>
      </c>
      <c r="L363">
        <f t="shared" si="76"/>
        <v>5.8797786646331156</v>
      </c>
    </row>
    <row r="364" spans="2:12" outlineLevel="1" x14ac:dyDescent="0.25">
      <c r="B364" s="127">
        <f t="shared" si="72"/>
        <v>250</v>
      </c>
      <c r="C364" s="128" cm="1">
        <f t="array" ref="C364">IF(F260&lt;&gt;"",INDEX(J260:Y260,$E$240)*100,"")</f>
        <v>6.3086058137439753</v>
      </c>
      <c r="D364" s="63">
        <f t="shared" si="68"/>
        <v>8.6146621093749935</v>
      </c>
      <c r="E364" s="116">
        <f t="shared" si="69"/>
        <v>6.3086058137439753</v>
      </c>
      <c r="F364" s="127">
        <f t="shared" si="70"/>
        <v>250</v>
      </c>
      <c r="G364" s="63">
        <f t="shared" si="71"/>
        <v>8.6146621093749935</v>
      </c>
      <c r="H364" s="63">
        <f t="shared" si="73"/>
        <v>6.2213006024983342</v>
      </c>
      <c r="I364" s="116">
        <f t="shared" si="74"/>
        <v>6.2213006024983342</v>
      </c>
      <c r="K364">
        <f t="shared" si="75"/>
        <v>-0.5</v>
      </c>
      <c r="L364">
        <f t="shared" si="76"/>
        <v>6.2213006024983342</v>
      </c>
    </row>
    <row r="365" spans="2:12" outlineLevel="1" x14ac:dyDescent="0.25">
      <c r="B365" s="127">
        <f t="shared" si="72"/>
        <v>260</v>
      </c>
      <c r="C365" s="128" cm="1">
        <f t="array" ref="C365">IF(F261&lt;&gt;"",INDEX(J261:Y261,$E$240)*100,"")</f>
        <v>6.7130781709316949</v>
      </c>
      <c r="D365" s="63">
        <f t="shared" si="68"/>
        <v>9.1525425060800121</v>
      </c>
      <c r="E365" s="116">
        <f t="shared" si="69"/>
        <v>6.7130781709316949</v>
      </c>
      <c r="F365" s="127">
        <f t="shared" si="70"/>
        <v>260</v>
      </c>
      <c r="G365" s="63">
        <f t="shared" si="71"/>
        <v>9.1525425060800121</v>
      </c>
      <c r="H365" s="63">
        <f t="shared" si="73"/>
        <v>6.5810223547846638</v>
      </c>
      <c r="I365" s="116">
        <f t="shared" si="74"/>
        <v>6.5810223547846638</v>
      </c>
      <c r="K365">
        <f t="shared" si="75"/>
        <v>-0.48</v>
      </c>
      <c r="L365">
        <f t="shared" si="76"/>
        <v>6.5810223547846638</v>
      </c>
    </row>
    <row r="366" spans="2:12" outlineLevel="1" x14ac:dyDescent="0.25">
      <c r="B366" s="127">
        <f t="shared" si="72"/>
        <v>270</v>
      </c>
      <c r="C366" s="128" cm="1">
        <f t="array" ref="C366">IF(F262&lt;&gt;"",INDEX(J262:Y262,$E$240)*100,"")</f>
        <v>7.1320597474885439</v>
      </c>
      <c r="D366" s="63">
        <f t="shared" si="68"/>
        <v>9.7079334022850148</v>
      </c>
      <c r="E366" s="116">
        <f t="shared" si="69"/>
        <v>7.1320597474885439</v>
      </c>
      <c r="F366" s="127">
        <f t="shared" si="70"/>
        <v>270</v>
      </c>
      <c r="G366" s="63">
        <f t="shared" si="71"/>
        <v>9.7079334022850148</v>
      </c>
      <c r="H366" s="63">
        <f t="shared" si="73"/>
        <v>6.9626283559885724</v>
      </c>
      <c r="I366" s="116">
        <f t="shared" si="74"/>
        <v>6.9626283559885724</v>
      </c>
      <c r="K366">
        <f t="shared" si="75"/>
        <v>-0.46</v>
      </c>
      <c r="L366">
        <f t="shared" si="76"/>
        <v>6.9626283559885724</v>
      </c>
    </row>
    <row r="367" spans="2:12" outlineLevel="1" x14ac:dyDescent="0.25">
      <c r="B367" s="127">
        <f t="shared" si="72"/>
        <v>280</v>
      </c>
      <c r="C367" s="128" cm="1">
        <f t="array" ref="C367">IF(F263&lt;&gt;"",INDEX(J263:Y263,$E$240)*100,"")</f>
        <v>7.5674364170149779</v>
      </c>
      <c r="D367" s="63">
        <f t="shared" si="68"/>
        <v>10.283142864639991</v>
      </c>
      <c r="E367" s="116">
        <f t="shared" si="69"/>
        <v>7.5674364170149779</v>
      </c>
      <c r="F367" s="127">
        <f t="shared" si="70"/>
        <v>280</v>
      </c>
      <c r="G367" s="63">
        <f t="shared" si="71"/>
        <v>10.283142864639991</v>
      </c>
      <c r="H367" s="63">
        <f t="shared" si="73"/>
        <v>7.3689959380863588</v>
      </c>
      <c r="I367" s="116">
        <f t="shared" si="74"/>
        <v>7.3689959380863588</v>
      </c>
      <c r="K367">
        <f t="shared" si="75"/>
        <v>-0.44</v>
      </c>
      <c r="L367">
        <f t="shared" si="76"/>
        <v>7.3689959380863588</v>
      </c>
    </row>
    <row r="368" spans="2:12" outlineLevel="1" x14ac:dyDescent="0.25">
      <c r="B368" s="127">
        <f t="shared" si="72"/>
        <v>290</v>
      </c>
      <c r="C368" s="128" cm="1">
        <f t="array" ref="C368">IF(F264&lt;&gt;"",INDEX(J264:Y264,$E$240)*100,"")</f>
        <v>8.020732559891286</v>
      </c>
      <c r="D368" s="63">
        <f t="shared" si="68"/>
        <v>10.879964443594993</v>
      </c>
      <c r="E368" s="116">
        <f t="shared" si="69"/>
        <v>8.020732559891286</v>
      </c>
      <c r="F368" s="127">
        <f t="shared" si="70"/>
        <v>290</v>
      </c>
      <c r="G368" s="63">
        <f t="shared" si="71"/>
        <v>10.879964443594993</v>
      </c>
      <c r="H368" s="63">
        <f t="shared" si="73"/>
        <v>7.8022582288313362</v>
      </c>
      <c r="I368" s="116">
        <f t="shared" si="74"/>
        <v>7.8022582288313362</v>
      </c>
      <c r="K368">
        <f t="shared" si="75"/>
        <v>-0.42</v>
      </c>
      <c r="L368">
        <f t="shared" si="76"/>
        <v>7.8022582288313362</v>
      </c>
    </row>
    <row r="369" spans="2:12" outlineLevel="1" x14ac:dyDescent="0.25">
      <c r="B369" s="127">
        <f t="shared" si="72"/>
        <v>300</v>
      </c>
      <c r="C369" s="128" cm="1">
        <f t="array" ref="C369">IF(F265&lt;&gt;"",INDEX(J265:Y265,$E$240)*100,"")</f>
        <v>8.4931395898596254</v>
      </c>
      <c r="D369" s="63">
        <f t="shared" si="68"/>
        <v>11.499720499999993</v>
      </c>
      <c r="E369" s="116">
        <f t="shared" si="69"/>
        <v>8.4931395898596254</v>
      </c>
      <c r="F369" s="127">
        <f t="shared" si="70"/>
        <v>300</v>
      </c>
      <c r="G369" s="63">
        <f t="shared" si="71"/>
        <v>11.499720499999993</v>
      </c>
      <c r="H369" s="63">
        <f t="shared" si="73"/>
        <v>8.2638670500509992</v>
      </c>
      <c r="I369" s="116">
        <f t="shared" si="74"/>
        <v>8.2638670500509992</v>
      </c>
      <c r="K369">
        <f t="shared" si="75"/>
        <v>-0.4</v>
      </c>
      <c r="L369">
        <f t="shared" si="76"/>
        <v>8.2638670500509992</v>
      </c>
    </row>
    <row r="370" spans="2:12" outlineLevel="1" x14ac:dyDescent="0.25">
      <c r="B370" s="127">
        <f t="shared" si="72"/>
        <v>310</v>
      </c>
      <c r="C370" s="128" cm="1">
        <f t="array" ref="C370">IF(F266&lt;&gt;"",INDEX(J266:Y266,$E$240)*100,"")</f>
        <v>8.9855445596657777</v>
      </c>
      <c r="D370" s="63">
        <f t="shared" si="68"/>
        <v>12.143305531705003</v>
      </c>
      <c r="E370" s="116">
        <f t="shared" si="69"/>
        <v>8.9855445596657777</v>
      </c>
      <c r="F370" s="127">
        <f t="shared" si="70"/>
        <v>310</v>
      </c>
      <c r="G370" s="63">
        <f t="shared" si="71"/>
        <v>12.143305531705003</v>
      </c>
      <c r="H370" s="63">
        <f t="shared" si="73"/>
        <v>8.7546558159441954</v>
      </c>
      <c r="I370" s="116">
        <f t="shared" si="74"/>
        <v>8.7546558159441954</v>
      </c>
      <c r="K370">
        <f t="shared" si="75"/>
        <v>-0.38</v>
      </c>
      <c r="L370">
        <f t="shared" si="76"/>
        <v>8.7546558159441954</v>
      </c>
    </row>
    <row r="371" spans="2:12" outlineLevel="1" x14ac:dyDescent="0.25">
      <c r="B371" s="127">
        <f t="shared" si="72"/>
        <v>320</v>
      </c>
      <c r="C371" s="128" cm="1">
        <f t="array" ref="C371">IF(F267&lt;&gt;"",INDEX(J267:Y267,$E$240)*100,"")</f>
        <v>9.4985588348397201</v>
      </c>
      <c r="D371" s="63">
        <f t="shared" si="68"/>
        <v>12.811229500159994</v>
      </c>
      <c r="E371" s="116">
        <f t="shared" si="69"/>
        <v>9.4985588348397201</v>
      </c>
      <c r="F371" s="127">
        <f t="shared" si="70"/>
        <v>320</v>
      </c>
      <c r="G371" s="63">
        <f t="shared" si="71"/>
        <v>12.811229500159994</v>
      </c>
      <c r="H371" s="63">
        <f t="shared" si="73"/>
        <v>9.2749024313782886</v>
      </c>
      <c r="I371" s="116">
        <f t="shared" si="74"/>
        <v>9.2749024313782886</v>
      </c>
      <c r="K371">
        <f t="shared" si="75"/>
        <v>-0.36</v>
      </c>
      <c r="L371">
        <f t="shared" si="76"/>
        <v>9.2749024313782886</v>
      </c>
    </row>
    <row r="372" spans="2:12" outlineLevel="1" x14ac:dyDescent="0.25">
      <c r="B372" s="127">
        <f t="shared" si="72"/>
        <v>330</v>
      </c>
      <c r="C372" s="128" cm="1">
        <f t="array" ref="C372">IF(F268&lt;&gt;"",INDEX(J268:Y268,$E$240)*100,"")</f>
        <v>10.03254686473427</v>
      </c>
      <c r="D372" s="63">
        <f t="shared" si="68"/>
        <v>13.503661157014999</v>
      </c>
      <c r="E372" s="116">
        <f t="shared" si="69"/>
        <v>10.03254686473427</v>
      </c>
      <c r="F372" s="127">
        <f t="shared" si="70"/>
        <v>330</v>
      </c>
      <c r="G372" s="63">
        <f t="shared" si="71"/>
        <v>13.503661157014999</v>
      </c>
      <c r="H372" s="63">
        <f t="shared" si="73"/>
        <v>9.8243921901863303</v>
      </c>
      <c r="I372" s="116">
        <f t="shared" si="74"/>
        <v>9.8243921901863303</v>
      </c>
      <c r="K372">
        <f t="shared" si="75"/>
        <v>-0.34</v>
      </c>
      <c r="L372">
        <f t="shared" si="76"/>
        <v>9.8243921901863303</v>
      </c>
    </row>
    <row r="373" spans="2:12" outlineLevel="1" x14ac:dyDescent="0.25">
      <c r="B373" s="127">
        <f t="shared" si="72"/>
        <v>340</v>
      </c>
      <c r="C373" s="128" cm="1">
        <f t="array" ref="C373">IF(F269&lt;&gt;"",INDEX(J269:Y269,$E$240)*100,"")</f>
        <v>10.587655111652319</v>
      </c>
      <c r="D373" s="63">
        <f t="shared" si="68"/>
        <v>14.220471370720009</v>
      </c>
      <c r="E373" s="116">
        <f t="shared" si="69"/>
        <v>10.587655111652319</v>
      </c>
      <c r="F373" s="127">
        <f t="shared" si="70"/>
        <v>340</v>
      </c>
      <c r="G373" s="63">
        <f t="shared" si="71"/>
        <v>14.220471370720009</v>
      </c>
      <c r="H373" s="63">
        <f t="shared" si="73"/>
        <v>10.402480673464252</v>
      </c>
      <c r="I373" s="116">
        <f t="shared" si="74"/>
        <v>10.402480673464252</v>
      </c>
      <c r="K373">
        <f t="shared" si="75"/>
        <v>-0.32</v>
      </c>
      <c r="L373">
        <f t="shared" si="76"/>
        <v>10.402480673464252</v>
      </c>
    </row>
    <row r="374" spans="2:12" outlineLevel="1" x14ac:dyDescent="0.25">
      <c r="B374" s="127">
        <f t="shared" si="72"/>
        <v>350</v>
      </c>
      <c r="C374" s="128" cm="1">
        <f t="array" ref="C374">IF(F270&lt;&gt;"",INDEX(J270:Y270,$E$240)*100,"")</f>
        <v>11.163841223141317</v>
      </c>
      <c r="D374" s="63">
        <f t="shared" si="68"/>
        <v>14.961276453124999</v>
      </c>
      <c r="E374" s="116">
        <f t="shared" si="69"/>
        <v>11.163841223141317</v>
      </c>
      <c r="F374" s="127">
        <f t="shared" si="70"/>
        <v>350</v>
      </c>
      <c r="G374" s="63">
        <f t="shared" si="71"/>
        <v>14.961276453124999</v>
      </c>
      <c r="H374" s="63">
        <f t="shared" si="73"/>
        <v>11.008156647867999</v>
      </c>
      <c r="I374" s="116">
        <f t="shared" si="74"/>
        <v>11.008156647867999</v>
      </c>
      <c r="K374">
        <f t="shared" si="75"/>
        <v>-0.3</v>
      </c>
      <c r="L374">
        <f t="shared" si="76"/>
        <v>11.008156647867999</v>
      </c>
    </row>
    <row r="375" spans="2:12" outlineLevel="1" x14ac:dyDescent="0.25">
      <c r="B375" s="127">
        <f t="shared" si="72"/>
        <v>360</v>
      </c>
      <c r="C375" s="128" cm="1">
        <f t="array" ref="C375">IF(F271&lt;&gt;"",INDEX(J271:Y271,$E$240)*100,"")</f>
        <v>11.760903550164818</v>
      </c>
      <c r="D375" s="63">
        <f t="shared" si="68"/>
        <v>15.725481486079985</v>
      </c>
      <c r="E375" s="116">
        <f t="shared" si="69"/>
        <v>11.760903550164818</v>
      </c>
      <c r="F375" s="127">
        <f t="shared" si="70"/>
        <v>360</v>
      </c>
      <c r="G375" s="63">
        <f t="shared" si="71"/>
        <v>15.725481486079985</v>
      </c>
      <c r="H375" s="63">
        <f t="shared" si="73"/>
        <v>11.640104963910726</v>
      </c>
      <c r="I375" s="116">
        <f t="shared" si="74"/>
        <v>11.640104963910726</v>
      </c>
      <c r="K375">
        <f t="shared" si="75"/>
        <v>-0.28000000000000003</v>
      </c>
      <c r="L375">
        <f t="shared" si="76"/>
        <v>11.640104963910726</v>
      </c>
    </row>
    <row r="376" spans="2:12" outlineLevel="1" x14ac:dyDescent="0.25">
      <c r="B376" s="127">
        <f t="shared" si="72"/>
        <v>370</v>
      </c>
      <c r="C376" s="128" cm="1">
        <f t="array" ref="C376">IF(F272&lt;&gt;"",INDEX(J272:Y272,$E$240)*100,"")</f>
        <v>12.378511125706297</v>
      </c>
      <c r="D376" s="63">
        <f t="shared" si="68"/>
        <v>16.512323648034961</v>
      </c>
      <c r="E376" s="116">
        <f t="shared" si="69"/>
        <v>12.378511125706297</v>
      </c>
      <c r="F376" s="127">
        <f t="shared" si="70"/>
        <v>370</v>
      </c>
      <c r="G376" s="63">
        <f t="shared" si="71"/>
        <v>16.512323648034961</v>
      </c>
      <c r="H376" s="63">
        <f t="shared" si="73"/>
        <v>12.296769454259966</v>
      </c>
      <c r="I376" s="116">
        <f t="shared" si="74"/>
        <v>12.296769454259966</v>
      </c>
      <c r="K376">
        <f t="shared" si="75"/>
        <v>-0.26</v>
      </c>
      <c r="L376">
        <f t="shared" si="76"/>
        <v>12.296769454259966</v>
      </c>
    </row>
    <row r="377" spans="2:12" outlineLevel="1" x14ac:dyDescent="0.25">
      <c r="B377" s="127">
        <f t="shared" si="72"/>
        <v>380</v>
      </c>
      <c r="C377" s="128" cm="1">
        <f t="array" ref="C377">IF(F273&lt;&gt;"",INDEX(J273:Y273,$E$240)*100,"")</f>
        <v>13.01623422523574</v>
      </c>
      <c r="D377" s="63">
        <f t="shared" si="68"/>
        <v>17.320915540640051</v>
      </c>
      <c r="E377" s="116">
        <f t="shared" si="69"/>
        <v>13.01623422523574</v>
      </c>
      <c r="F377" s="127">
        <f t="shared" si="70"/>
        <v>380</v>
      </c>
      <c r="G377" s="63">
        <f t="shared" si="71"/>
        <v>17.320915540640051</v>
      </c>
      <c r="H377" s="63">
        <f t="shared" si="73"/>
        <v>12.976415832034785</v>
      </c>
      <c r="I377" s="116">
        <f t="shared" si="74"/>
        <v>12.976415832034785</v>
      </c>
      <c r="K377">
        <f t="shared" si="75"/>
        <v>-0.24</v>
      </c>
      <c r="L377">
        <f t="shared" si="76"/>
        <v>12.976415832034785</v>
      </c>
    </row>
    <row r="378" spans="2:12" outlineLevel="1" x14ac:dyDescent="0.25">
      <c r="B378" s="127">
        <f t="shared" si="72"/>
        <v>390</v>
      </c>
      <c r="C378" s="128" cm="1">
        <f t="array" ref="C378">IF(F274&lt;&gt;"",INDEX(J274:Y274,$E$240)*100,"")</f>
        <v>13.673575633185639</v>
      </c>
      <c r="D378" s="63">
        <f t="shared" si="68"/>
        <v>18.150288515345046</v>
      </c>
      <c r="E378" s="116">
        <f t="shared" si="69"/>
        <v>13.673575633185639</v>
      </c>
      <c r="F378" s="127">
        <f t="shared" si="70"/>
        <v>390</v>
      </c>
      <c r="G378" s="63">
        <f t="shared" si="71"/>
        <v>18.150288515345046</v>
      </c>
      <c r="H378" s="63">
        <f t="shared" si="73"/>
        <v>13.677194589102974</v>
      </c>
      <c r="I378" s="116">
        <f t="shared" si="74"/>
        <v>13.677194589102974</v>
      </c>
      <c r="K378">
        <f t="shared" si="75"/>
        <v>-0.22</v>
      </c>
      <c r="L378">
        <f t="shared" si="76"/>
        <v>13.677194589102974</v>
      </c>
    </row>
    <row r="379" spans="2:12" outlineLevel="1" x14ac:dyDescent="0.25">
      <c r="B379" s="127">
        <f t="shared" si="72"/>
        <v>400</v>
      </c>
      <c r="C379" s="128" cm="1">
        <f t="array" ref="C379">IF(F275&lt;&gt;"",INDEX(J275:Y275,$E$240)*100,"")</f>
        <v>14.350002738968179</v>
      </c>
      <c r="D379" s="63">
        <f t="shared" si="68"/>
        <v>18.999436000000046</v>
      </c>
      <c r="E379" s="116">
        <f t="shared" si="69"/>
        <v>14.350002738968179</v>
      </c>
      <c r="F379" s="127">
        <f t="shared" si="70"/>
        <v>400</v>
      </c>
      <c r="G379" s="63">
        <f t="shared" si="71"/>
        <v>18.999436000000046</v>
      </c>
      <c r="H379" s="63">
        <f t="shared" si="73"/>
        <v>14.397203894378197</v>
      </c>
      <c r="I379" s="116">
        <f t="shared" si="74"/>
        <v>14.397203894378197</v>
      </c>
      <c r="K379">
        <f t="shared" si="75"/>
        <v>-0.2</v>
      </c>
      <c r="L379">
        <f t="shared" si="76"/>
        <v>14.397203894378197</v>
      </c>
    </row>
    <row r="380" spans="2:12" outlineLevel="1" x14ac:dyDescent="0.25">
      <c r="B380" s="127">
        <f t="shared" si="72"/>
        <v>410</v>
      </c>
      <c r="C380" s="128" cm="1">
        <f t="array" ref="C380">IF(F276&lt;&gt;"",INDEX(J276:Y276,$E$240)*100,"")</f>
        <v>15.044980582964431</v>
      </c>
      <c r="D380" s="63">
        <f t="shared" si="68"/>
        <v>19.867356825455012</v>
      </c>
      <c r="E380" s="116">
        <f t="shared" si="69"/>
        <v>15.044980582964431</v>
      </c>
      <c r="F380" s="127">
        <f t="shared" si="70"/>
        <v>410</v>
      </c>
      <c r="G380" s="63">
        <f t="shared" si="71"/>
        <v>19.867356825455012</v>
      </c>
      <c r="H380" s="63">
        <f t="shared" si="73"/>
        <v>15.134552492117185</v>
      </c>
      <c r="I380" s="116">
        <f t="shared" si="74"/>
        <v>15.134552492117185</v>
      </c>
      <c r="K380">
        <f t="shared" si="75"/>
        <v>-0.18</v>
      </c>
      <c r="L380">
        <f t="shared" si="76"/>
        <v>15.134552492117185</v>
      </c>
    </row>
    <row r="381" spans="2:12" outlineLevel="1" x14ac:dyDescent="0.25">
      <c r="B381" s="127">
        <f t="shared" si="72"/>
        <v>420</v>
      </c>
      <c r="C381" s="128" cm="1">
        <f t="array" ref="C381">IF(F277&lt;&gt;"",INDEX(J277:Y277,$E$240)*100,"")</f>
        <v>15.758005968241273</v>
      </c>
      <c r="D381" s="63">
        <f t="shared" si="68"/>
        <v>20.753098552160033</v>
      </c>
      <c r="E381" s="116">
        <f t="shared" si="69"/>
        <v>15.758005968241273</v>
      </c>
      <c r="F381" s="127">
        <f t="shared" si="70"/>
        <v>420</v>
      </c>
      <c r="G381" s="63">
        <f t="shared" si="71"/>
        <v>20.753098552160033</v>
      </c>
      <c r="H381" s="63">
        <f t="shared" si="73"/>
        <v>15.887422600216883</v>
      </c>
      <c r="I381" s="116">
        <f t="shared" si="74"/>
        <v>15.887422600216883</v>
      </c>
      <c r="K381">
        <f t="shared" si="75"/>
        <v>-0.16</v>
      </c>
      <c r="L381">
        <f t="shared" si="76"/>
        <v>15.887422600216883</v>
      </c>
    </row>
    <row r="382" spans="2:12" outlineLevel="1" x14ac:dyDescent="0.25">
      <c r="B382" s="127">
        <f t="shared" si="72"/>
        <v>430</v>
      </c>
      <c r="C382" s="128" cm="1">
        <f t="array" ref="C382">IF(F278&lt;&gt;"",INDEX(J278:Y278,$E$240)*100,"")</f>
        <v>16.488642748459785</v>
      </c>
      <c r="D382" s="63">
        <f t="shared" ref="D382:D413" si="77">IF(F278&lt;&gt;"",F278,"")</f>
        <v>21.655800796765021</v>
      </c>
      <c r="E382" s="116">
        <f t="shared" ref="E382:E413" si="78">IF(AND(C382&lt;&gt;"",C382&lt;=100),C382,0)</f>
        <v>16.488642748459785</v>
      </c>
      <c r="F382" s="127">
        <f t="shared" ref="F382:F413" si="79">IF(B382="",NA(),B382)</f>
        <v>430</v>
      </c>
      <c r="G382" s="63">
        <f t="shared" ref="G382:G413" si="80">IF(D382="",NA(),D382)</f>
        <v>21.655800796765021</v>
      </c>
      <c r="H382" s="63">
        <f t="shared" si="73"/>
        <v>16.654132808511637</v>
      </c>
      <c r="I382" s="116">
        <f t="shared" si="74"/>
        <v>16.654132808511637</v>
      </c>
      <c r="K382">
        <f t="shared" si="75"/>
        <v>-0.14000000000000001</v>
      </c>
      <c r="L382">
        <f t="shared" si="76"/>
        <v>16.654132808511637</v>
      </c>
    </row>
    <row r="383" spans="2:12" outlineLevel="1" x14ac:dyDescent="0.25">
      <c r="B383" s="127">
        <f t="shared" si="72"/>
        <v>440</v>
      </c>
      <c r="C383" s="128" cm="1">
        <f t="array" ref="C383">IF(F279&lt;&gt;"",INDEX(J279:Y279,$E$240)*100,"")</f>
        <v>17.236558397593701</v>
      </c>
      <c r="D383" s="63">
        <f t="shared" si="77"/>
        <v>22.574738558720028</v>
      </c>
      <c r="E383" s="116">
        <f t="shared" si="78"/>
        <v>17.236558397593701</v>
      </c>
      <c r="F383" s="127">
        <f t="shared" si="79"/>
        <v>440</v>
      </c>
      <c r="G383" s="63">
        <f t="shared" si="80"/>
        <v>22.574738558720028</v>
      </c>
      <c r="H383" s="63">
        <f t="shared" si="73"/>
        <v>17.433200977070356</v>
      </c>
      <c r="I383" s="116">
        <f t="shared" si="74"/>
        <v>17.433200977070356</v>
      </c>
      <c r="K383">
        <f t="shared" si="75"/>
        <v>-0.12</v>
      </c>
      <c r="L383">
        <f t="shared" si="76"/>
        <v>17.433200977070356</v>
      </c>
    </row>
    <row r="384" spans="2:12" outlineLevel="1" x14ac:dyDescent="0.25">
      <c r="B384" s="127">
        <f t="shared" si="72"/>
        <v>450</v>
      </c>
      <c r="C384" s="128" cm="1">
        <f t="array" ref="C384">IF(F280&lt;&gt;"",INDEX(J280:Y280,$E$240)*100,"")</f>
        <v>18.001561963832017</v>
      </c>
      <c r="D384" s="63">
        <f t="shared" si="77"/>
        <v>23.509365546875031</v>
      </c>
      <c r="E384" s="116">
        <f t="shared" si="78"/>
        <v>18.001561963832017</v>
      </c>
      <c r="F384" s="127">
        <f t="shared" si="79"/>
        <v>450</v>
      </c>
      <c r="G384" s="63">
        <f t="shared" si="80"/>
        <v>23.509365546875031</v>
      </c>
      <c r="H384" s="63">
        <f t="shared" si="73"/>
        <v>18.223407134493677</v>
      </c>
      <c r="I384" s="116">
        <f t="shared" si="74"/>
        <v>18.223407134493677</v>
      </c>
      <c r="K384">
        <f t="shared" si="75"/>
        <v>-0.1</v>
      </c>
      <c r="L384">
        <f t="shared" si="76"/>
        <v>18.223407134493677</v>
      </c>
    </row>
    <row r="385" spans="2:12" outlineLevel="1" x14ac:dyDescent="0.25">
      <c r="B385" s="127">
        <f t="shared" si="72"/>
        <v>460</v>
      </c>
      <c r="C385" s="128" cm="1">
        <f t="array" ref="C385">IF(F281&lt;&gt;"",INDEX(J281:Y281,$E$240)*100,"")</f>
        <v>18.783643509686289</v>
      </c>
      <c r="D385" s="63">
        <f t="shared" si="77"/>
        <v>24.459357506080096</v>
      </c>
      <c r="E385" s="116">
        <f t="shared" si="78"/>
        <v>18.783643509686289</v>
      </c>
      <c r="F385" s="127">
        <f t="shared" si="79"/>
        <v>460</v>
      </c>
      <c r="G385" s="63">
        <f t="shared" si="80"/>
        <v>24.459357506080096</v>
      </c>
      <c r="H385" s="63">
        <f t="shared" si="73"/>
        <v>19.023856376211171</v>
      </c>
      <c r="I385" s="116">
        <f t="shared" si="74"/>
        <v>19.023856376211171</v>
      </c>
      <c r="K385">
        <f t="shared" si="75"/>
        <v>-0.08</v>
      </c>
      <c r="L385">
        <f t="shared" si="76"/>
        <v>19.023856376211171</v>
      </c>
    </row>
    <row r="386" spans="2:12" outlineLevel="1" x14ac:dyDescent="0.25">
      <c r="B386" s="127">
        <f t="shared" si="72"/>
        <v>470</v>
      </c>
      <c r="C386" s="128" cm="1">
        <f t="array" ref="C386">IF(F282&lt;&gt;"",INDEX(J282:Y282,$E$240)*100,"")</f>
        <v>19.583015144280978</v>
      </c>
      <c r="D386" s="63">
        <f t="shared" si="77"/>
        <v>25.424655543785093</v>
      </c>
      <c r="E386" s="116">
        <f t="shared" si="78"/>
        <v>19.583015144280978</v>
      </c>
      <c r="F386" s="127">
        <f t="shared" si="79"/>
        <v>470</v>
      </c>
      <c r="G386" s="63">
        <f t="shared" si="80"/>
        <v>25.424655543785093</v>
      </c>
      <c r="H386" s="63">
        <f t="shared" si="73"/>
        <v>19.834041762778448</v>
      </c>
      <c r="I386" s="116">
        <f t="shared" si="74"/>
        <v>19.834041762778448</v>
      </c>
      <c r="K386">
        <f t="shared" si="75"/>
        <v>-0.06</v>
      </c>
      <c r="L386">
        <f t="shared" si="76"/>
        <v>19.834041762778448</v>
      </c>
    </row>
    <row r="387" spans="2:12" outlineLevel="1" x14ac:dyDescent="0.25">
      <c r="B387" s="127">
        <f t="shared" si="72"/>
        <v>480</v>
      </c>
      <c r="C387" s="128" cm="1">
        <f t="array" ref="C387">IF(F283&lt;&gt;"",INDEX(J283:Y283,$E$240)*100,"")</f>
        <v>20.400153763666971</v>
      </c>
      <c r="D387" s="63">
        <f t="shared" si="77"/>
        <v>26.405509456640075</v>
      </c>
      <c r="E387" s="116">
        <f t="shared" si="78"/>
        <v>20.400153763666971</v>
      </c>
      <c r="F387" s="127">
        <f t="shared" si="79"/>
        <v>480</v>
      </c>
      <c r="G387" s="63">
        <f t="shared" si="80"/>
        <v>26.405509456640075</v>
      </c>
      <c r="H387" s="63">
        <f t="shared" si="73"/>
        <v>20.6539072181744</v>
      </c>
      <c r="I387" s="116">
        <f t="shared" si="74"/>
        <v>20.6539072181744</v>
      </c>
      <c r="K387">
        <f t="shared" si="75"/>
        <v>-0.04</v>
      </c>
      <c r="L387">
        <f t="shared" si="76"/>
        <v>20.6539072181744</v>
      </c>
    </row>
    <row r="388" spans="2:12" outlineLevel="1" x14ac:dyDescent="0.25">
      <c r="B388" s="127">
        <f t="shared" si="72"/>
        <v>490</v>
      </c>
      <c r="C388" s="128" cm="1">
        <f t="array" ref="C388">IF(F284&lt;&gt;"",INDEX(J284:Y284,$E$240)*100,"")</f>
        <v>21.235845632526566</v>
      </c>
      <c r="D388" s="63">
        <f t="shared" si="77"/>
        <v>27.402521057095072</v>
      </c>
      <c r="E388" s="116">
        <f t="shared" si="78"/>
        <v>21.235845632526566</v>
      </c>
      <c r="F388" s="127">
        <f t="shared" si="79"/>
        <v>490</v>
      </c>
      <c r="G388" s="63">
        <f t="shared" si="80"/>
        <v>27.402521057095072</v>
      </c>
      <c r="H388" s="63">
        <f t="shared" si="73"/>
        <v>21.483910428098305</v>
      </c>
      <c r="I388" s="116">
        <f t="shared" si="74"/>
        <v>21.483910428098305</v>
      </c>
      <c r="K388">
        <f t="shared" si="75"/>
        <v>-0.02</v>
      </c>
      <c r="L388">
        <f t="shared" si="76"/>
        <v>21.483910428098305</v>
      </c>
    </row>
    <row r="389" spans="2:12" outlineLevel="1" x14ac:dyDescent="0.25">
      <c r="B389" s="127">
        <f t="shared" si="72"/>
        <v>500</v>
      </c>
      <c r="C389" s="128" cm="1">
        <f t="array" ref="C389">IF(F285&lt;&gt;"",INDEX(J285:Y285,$E$240)*100,"")</f>
        <v>22.091232967817625</v>
      </c>
      <c r="D389" s="63">
        <f t="shared" si="77"/>
        <v>28.416687499999995</v>
      </c>
      <c r="E389" s="116">
        <f t="shared" si="78"/>
        <v>22.091232967817625</v>
      </c>
      <c r="F389" s="127">
        <f t="shared" si="79"/>
        <v>500</v>
      </c>
      <c r="G389" s="63">
        <f t="shared" si="80"/>
        <v>28.416687499999995</v>
      </c>
      <c r="H389" s="63">
        <f t="shared" si="73"/>
        <v>22.325085738267056</v>
      </c>
      <c r="I389" s="116">
        <f t="shared" si="74"/>
        <v>22.325085738267056</v>
      </c>
      <c r="K389">
        <f t="shared" si="75"/>
        <v>0</v>
      </c>
      <c r="L389">
        <f t="shared" si="76"/>
        <v>22.325085738267056</v>
      </c>
    </row>
    <row r="390" spans="2:12" outlineLevel="1" x14ac:dyDescent="0.25">
      <c r="B390" s="127">
        <f t="shared" si="72"/>
        <v>510</v>
      </c>
      <c r="C390" s="128" cm="1">
        <f t="array" ref="C390">IF(F286&lt;&gt;"",INDEX(J286:Y286,$E$240)*100,"")</f>
        <v>22.967862723948649</v>
      </c>
      <c r="D390" s="63">
        <f t="shared" si="77"/>
        <v>29.449444609205102</v>
      </c>
      <c r="E390" s="116">
        <f t="shared" si="78"/>
        <v>22.967862723948649</v>
      </c>
      <c r="F390" s="127">
        <f t="shared" si="79"/>
        <v>510</v>
      </c>
      <c r="G390" s="63">
        <f t="shared" si="80"/>
        <v>29.449444609205102</v>
      </c>
      <c r="H390" s="63">
        <f t="shared" si="73"/>
        <v>23.179107052712283</v>
      </c>
      <c r="I390" s="116">
        <f t="shared" si="74"/>
        <v>23.179107052712283</v>
      </c>
      <c r="K390">
        <f t="shared" si="75"/>
        <v>0.02</v>
      </c>
      <c r="L390">
        <f t="shared" si="76"/>
        <v>23.179107052712283</v>
      </c>
    </row>
    <row r="391" spans="2:12" outlineLevel="1" x14ac:dyDescent="0.25">
      <c r="B391" s="127">
        <f t="shared" si="72"/>
        <v>520</v>
      </c>
      <c r="C391" s="128" cm="1">
        <f t="array" ref="C391">IF(F287&lt;&gt;"",INDEX(J287:Y287,$E$240)*100,"")</f>
        <v>23.867737832495802</v>
      </c>
      <c r="D391" s="63">
        <f t="shared" si="77"/>
        <v>30.502710204160167</v>
      </c>
      <c r="E391" s="116">
        <f t="shared" si="78"/>
        <v>23.867737832495802</v>
      </c>
      <c r="F391" s="127">
        <f t="shared" si="79"/>
        <v>520</v>
      </c>
      <c r="G391" s="63">
        <f t="shared" si="80"/>
        <v>30.502710204160167</v>
      </c>
      <c r="H391" s="63">
        <f t="shared" si="73"/>
        <v>24.048350732077555</v>
      </c>
      <c r="I391" s="116">
        <f t="shared" si="74"/>
        <v>24.048350732077555</v>
      </c>
      <c r="K391">
        <f t="shared" si="75"/>
        <v>0.04</v>
      </c>
      <c r="L391">
        <f t="shared" si="76"/>
        <v>24.048350732077555</v>
      </c>
    </row>
    <row r="392" spans="2:12" outlineLevel="1" x14ac:dyDescent="0.25">
      <c r="B392" s="127">
        <f t="shared" si="72"/>
        <v>530</v>
      </c>
      <c r="C392" s="128" cm="1">
        <f t="array" ref="C392">IF(F288&lt;&gt;"",INDEX(J288:Y288,$E$240)*100,"")</f>
        <v>24.79337122013759</v>
      </c>
      <c r="D392" s="63">
        <f t="shared" si="77"/>
        <v>31.578927426515122</v>
      </c>
      <c r="E392" s="116">
        <f t="shared" si="78"/>
        <v>24.79337122013759</v>
      </c>
      <c r="F392" s="127">
        <f t="shared" si="79"/>
        <v>530</v>
      </c>
      <c r="G392" s="63">
        <f t="shared" si="80"/>
        <v>31.578927426515122</v>
      </c>
      <c r="H392" s="63">
        <f t="shared" si="73"/>
        <v>24.935958491915542</v>
      </c>
      <c r="I392" s="116">
        <f t="shared" si="74"/>
        <v>24.935958491915542</v>
      </c>
      <c r="K392">
        <f t="shared" si="75"/>
        <v>0.06</v>
      </c>
      <c r="L392">
        <f t="shared" si="76"/>
        <v>24.935958491915542</v>
      </c>
    </row>
    <row r="393" spans="2:12" outlineLevel="1" x14ac:dyDescent="0.25">
      <c r="B393" s="127">
        <f t="shared" si="72"/>
        <v>540</v>
      </c>
      <c r="C393" s="128" cm="1">
        <f t="array" ref="C393">IF(F289&lt;&gt;"",INDEX(J289:Y289,$E$240)*100,"")</f>
        <v>25.747843019689942</v>
      </c>
      <c r="D393" s="63">
        <f t="shared" si="77"/>
        <v>32.681108066720185</v>
      </c>
      <c r="E393" s="116">
        <f t="shared" si="78"/>
        <v>25.747843019689942</v>
      </c>
      <c r="F393" s="127">
        <f t="shared" si="79"/>
        <v>540</v>
      </c>
      <c r="G393" s="63">
        <f t="shared" si="80"/>
        <v>32.681108066720185</v>
      </c>
      <c r="H393" s="63">
        <f t="shared" si="73"/>
        <v>25.845900300985171</v>
      </c>
      <c r="I393" s="116">
        <f t="shared" si="74"/>
        <v>25.845900300985171</v>
      </c>
      <c r="K393">
        <f t="shared" si="75"/>
        <v>0.08</v>
      </c>
      <c r="L393">
        <f t="shared" si="76"/>
        <v>25.845900300985171</v>
      </c>
    </row>
    <row r="394" spans="2:12" outlineLevel="1" x14ac:dyDescent="0.25">
      <c r="B394" s="127">
        <f t="shared" si="72"/>
        <v>550</v>
      </c>
      <c r="C394" s="128" cm="1">
        <f t="array" ref="C394">IF(F290&lt;&gt;"",INDEX(J290:Y290,$E$240)*100,"")</f>
        <v>26.734861504771985</v>
      </c>
      <c r="D394" s="63">
        <f t="shared" si="77"/>
        <v>33.812875890625151</v>
      </c>
      <c r="E394" s="116">
        <f t="shared" si="78"/>
        <v>26.734861504771985</v>
      </c>
      <c r="F394" s="127">
        <f t="shared" si="79"/>
        <v>550</v>
      </c>
      <c r="G394" s="63">
        <f t="shared" si="80"/>
        <v>33.812875890625151</v>
      </c>
      <c r="H394" s="63">
        <f t="shared" si="73"/>
        <v>26.783037279548815</v>
      </c>
      <c r="I394" s="116">
        <f t="shared" si="74"/>
        <v>26.783037279548815</v>
      </c>
      <c r="K394">
        <f t="shared" si="75"/>
        <v>0.1</v>
      </c>
      <c r="L394">
        <f t="shared" si="76"/>
        <v>26.783037279548815</v>
      </c>
    </row>
    <row r="395" spans="2:12" outlineLevel="1" x14ac:dyDescent="0.25">
      <c r="B395" s="127">
        <f t="shared" si="72"/>
        <v>560</v>
      </c>
      <c r="C395" s="128" cm="1">
        <f t="array" ref="C395">IF(F291&lt;&gt;"",INDEX(J291:Y291,$E$240)*100,"")</f>
        <v>27.758828423351162</v>
      </c>
      <c r="D395" s="63">
        <f t="shared" si="77"/>
        <v>34.978509966080054</v>
      </c>
      <c r="E395" s="116">
        <f t="shared" si="78"/>
        <v>27.758828423351162</v>
      </c>
      <c r="F395" s="127">
        <f t="shared" si="79"/>
        <v>560</v>
      </c>
      <c r="G395" s="63">
        <f t="shared" si="80"/>
        <v>34.978509966080054</v>
      </c>
      <c r="H395" s="63">
        <f t="shared" si="73"/>
        <v>27.75318459766946</v>
      </c>
      <c r="I395" s="116">
        <f t="shared" si="74"/>
        <v>27.75318459766946</v>
      </c>
      <c r="K395">
        <f t="shared" si="75"/>
        <v>0.12</v>
      </c>
      <c r="L395">
        <f t="shared" si="76"/>
        <v>27.75318459766946</v>
      </c>
    </row>
    <row r="396" spans="2:12" outlineLevel="1" x14ac:dyDescent="0.25">
      <c r="B396" s="127">
        <f t="shared" si="72"/>
        <v>570</v>
      </c>
      <c r="C396" s="128" cm="1">
        <f t="array" ref="C396">IF(F292&lt;&gt;"",INDEX(J292:Y292,$E$240)*100,"")</f>
        <v>28.824909584831925</v>
      </c>
      <c r="D396" s="63">
        <f t="shared" si="77"/>
        <v>36.182987989535064</v>
      </c>
      <c r="E396" s="116">
        <f t="shared" si="78"/>
        <v>28.824909584831925</v>
      </c>
      <c r="F396" s="127">
        <f t="shared" si="79"/>
        <v>570</v>
      </c>
      <c r="G396" s="63">
        <f t="shared" si="80"/>
        <v>36.182987989535064</v>
      </c>
      <c r="H396" s="63">
        <f t="shared" si="73"/>
        <v>28.763174373507876</v>
      </c>
      <c r="I396" s="116">
        <f t="shared" si="74"/>
        <v>28.763174373507876</v>
      </c>
      <c r="K396">
        <f t="shared" si="75"/>
        <v>0.14000000000000001</v>
      </c>
      <c r="L396">
        <f t="shared" si="76"/>
        <v>28.763174373507876</v>
      </c>
    </row>
    <row r="397" spans="2:12" outlineLevel="1" x14ac:dyDescent="0.25">
      <c r="B397" s="127">
        <f t="shared" si="72"/>
        <v>580</v>
      </c>
      <c r="C397" s="128" cm="1">
        <f t="array" ref="C397">IF(F293&lt;&gt;"",INDEX(J293:Y293,$E$240)*100,"")</f>
        <v>29.939111776433077</v>
      </c>
      <c r="D397" s="63">
        <f t="shared" si="77"/>
        <v>37.43202961263998</v>
      </c>
      <c r="E397" s="116">
        <f t="shared" si="78"/>
        <v>29.939111776433077</v>
      </c>
      <c r="F397" s="127">
        <f t="shared" si="79"/>
        <v>580</v>
      </c>
      <c r="G397" s="63">
        <f t="shared" si="80"/>
        <v>37.43202961263998</v>
      </c>
      <c r="H397" s="63">
        <f t="shared" si="73"/>
        <v>29.820918571619774</v>
      </c>
      <c r="I397" s="116">
        <f t="shared" si="74"/>
        <v>29.820918571619774</v>
      </c>
      <c r="K397">
        <f t="shared" si="75"/>
        <v>0.16</v>
      </c>
      <c r="L397">
        <f t="shared" si="76"/>
        <v>29.820918571619774</v>
      </c>
    </row>
    <row r="398" spans="2:12" outlineLevel="1" x14ac:dyDescent="0.25">
      <c r="B398" s="127">
        <f t="shared" si="72"/>
        <v>590</v>
      </c>
      <c r="C398" s="128" cm="1">
        <f t="array" ref="C398">IF(F294&lt;&gt;"",INDEX(J294:Y294,$E$240)*100,"")</f>
        <v>31.108367356078446</v>
      </c>
      <c r="D398" s="63">
        <f t="shared" si="77"/>
        <v>38.732139768845002</v>
      </c>
      <c r="E398" s="116">
        <f t="shared" si="78"/>
        <v>31.108367356078446</v>
      </c>
      <c r="F398" s="127">
        <f t="shared" si="79"/>
        <v>590</v>
      </c>
      <c r="G398" s="63">
        <f t="shared" si="80"/>
        <v>38.732139768845002</v>
      </c>
      <c r="H398" s="63">
        <f t="shared" si="73"/>
        <v>30.935471901252988</v>
      </c>
      <c r="I398" s="116">
        <f t="shared" si="74"/>
        <v>30.935471901252988</v>
      </c>
      <c r="K398">
        <f t="shared" si="75"/>
        <v>0.18</v>
      </c>
      <c r="L398">
        <f t="shared" si="76"/>
        <v>30.935471901252988</v>
      </c>
    </row>
    <row r="399" spans="2:12" outlineLevel="1" x14ac:dyDescent="0.25">
      <c r="B399" s="127">
        <f t="shared" si="72"/>
        <v>600</v>
      </c>
      <c r="C399" s="128" cm="1">
        <f t="array" ref="C399">IF(F295&lt;&gt;"",INDEX(J295:Y295,$E$240)*100,"")</f>
        <v>32.340628202025201</v>
      </c>
      <c r="D399" s="63">
        <f t="shared" si="77"/>
        <v>40.090652000000148</v>
      </c>
      <c r="E399" s="116">
        <f t="shared" si="78"/>
        <v>32.340628202025201</v>
      </c>
      <c r="F399" s="127">
        <f t="shared" si="79"/>
        <v>600</v>
      </c>
      <c r="G399" s="63">
        <f t="shared" si="80"/>
        <v>40.090652000000148</v>
      </c>
      <c r="H399" s="63">
        <f t="shared" si="73"/>
        <v>32.117094714644637</v>
      </c>
      <c r="I399" s="116">
        <f t="shared" si="74"/>
        <v>32.117094714644637</v>
      </c>
      <c r="K399">
        <f t="shared" si="75"/>
        <v>0.2</v>
      </c>
      <c r="L399">
        <f t="shared" si="76"/>
        <v>32.117094714644637</v>
      </c>
    </row>
    <row r="400" spans="2:12" outlineLevel="1" x14ac:dyDescent="0.25">
      <c r="B400" s="127">
        <f t="shared" si="72"/>
        <v>610</v>
      </c>
      <c r="C400" s="128" cm="1">
        <f t="array" ref="C400">IF(F296&lt;&gt;"",INDEX(J296:Y296,$E$240)*100,"")</f>
        <v>33.644971108332747</v>
      </c>
      <c r="D400" s="63">
        <f t="shared" si="77"/>
        <v>41.515771782955198</v>
      </c>
      <c r="E400" s="116">
        <f t="shared" si="78"/>
        <v>33.644971108332747</v>
      </c>
      <c r="F400" s="127">
        <f t="shared" si="79"/>
        <v>610</v>
      </c>
      <c r="G400" s="63">
        <f t="shared" si="80"/>
        <v>41.515771782955198</v>
      </c>
      <c r="H400" s="63">
        <f t="shared" si="73"/>
        <v>33.377315905318319</v>
      </c>
      <c r="I400" s="116">
        <f t="shared" si="74"/>
        <v>33.377315905318319</v>
      </c>
      <c r="K400">
        <f t="shared" si="75"/>
        <v>0.22</v>
      </c>
      <c r="L400">
        <f t="shared" si="76"/>
        <v>33.377315905318319</v>
      </c>
    </row>
    <row r="401" spans="2:12" outlineLevel="1" x14ac:dyDescent="0.25">
      <c r="B401" s="127">
        <f t="shared" si="72"/>
        <v>620</v>
      </c>
      <c r="C401" s="128" cm="1">
        <f t="array" ref="C401">IF(F297&lt;&gt;"",INDEX(J297:Y297,$E$240)*100,"")</f>
        <v>35.031717218701232</v>
      </c>
      <c r="D401" s="63">
        <f t="shared" si="77"/>
        <v>43.016619856160219</v>
      </c>
      <c r="E401" s="116">
        <f t="shared" si="78"/>
        <v>35.031717218701232</v>
      </c>
      <c r="F401" s="127">
        <f t="shared" si="79"/>
        <v>620</v>
      </c>
      <c r="G401" s="63">
        <f t="shared" si="80"/>
        <v>43.016619856160219</v>
      </c>
      <c r="H401" s="63">
        <f t="shared" si="73"/>
        <v>34.728995806381249</v>
      </c>
      <c r="I401" s="116">
        <f t="shared" si="74"/>
        <v>34.728995806381249</v>
      </c>
      <c r="K401">
        <f t="shared" si="75"/>
        <v>0.24</v>
      </c>
      <c r="L401">
        <f t="shared" si="76"/>
        <v>34.728995806381249</v>
      </c>
    </row>
    <row r="402" spans="2:12" outlineLevel="1" x14ac:dyDescent="0.25">
      <c r="B402" s="127">
        <f t="shared" si="72"/>
        <v>630</v>
      </c>
      <c r="C402" s="128" cm="1">
        <f t="array" ref="C402">IF(F298&lt;&gt;"",INDEX(J298:Y298,$E$240)*100,"")</f>
        <v>36.512568713733955</v>
      </c>
      <c r="D402" s="63">
        <f t="shared" si="77"/>
        <v>44.603275546265081</v>
      </c>
      <c r="E402" s="116">
        <f t="shared" si="78"/>
        <v>36.512568713733955</v>
      </c>
      <c r="F402" s="127">
        <f t="shared" si="79"/>
        <v>630</v>
      </c>
      <c r="G402" s="63">
        <f t="shared" si="80"/>
        <v>44.603275546265081</v>
      </c>
      <c r="H402" s="63">
        <f t="shared" si="73"/>
        <v>36.186389088821443</v>
      </c>
      <c r="I402" s="116">
        <f t="shared" si="74"/>
        <v>36.186389088821443</v>
      </c>
      <c r="K402">
        <f t="shared" si="75"/>
        <v>0.26</v>
      </c>
      <c r="L402">
        <f t="shared" si="76"/>
        <v>36.186389088821443</v>
      </c>
    </row>
    <row r="403" spans="2:12" outlineLevel="1" x14ac:dyDescent="0.25">
      <c r="B403" s="127">
        <f t="shared" si="72"/>
        <v>640</v>
      </c>
      <c r="C403" s="128" cm="1">
        <f t="array" ref="C403">IF(F299&lt;&gt;"",INDEX(J299:Y299,$E$240)*100,"")</f>
        <v>38.100766740807671</v>
      </c>
      <c r="D403" s="63">
        <f t="shared" si="77"/>
        <v>46.286820094720099</v>
      </c>
      <c r="E403" s="116">
        <f t="shared" si="78"/>
        <v>38.100766740807671</v>
      </c>
      <c r="F403" s="127">
        <f t="shared" si="79"/>
        <v>640</v>
      </c>
      <c r="G403" s="63">
        <f t="shared" si="80"/>
        <v>46.286820094720099</v>
      </c>
      <c r="H403" s="63">
        <f t="shared" si="73"/>
        <v>37.765207659804901</v>
      </c>
      <c r="I403" s="116">
        <f t="shared" si="74"/>
        <v>37.765207659804901</v>
      </c>
      <c r="K403">
        <f t="shared" si="75"/>
        <v>0.28000000000000003</v>
      </c>
      <c r="L403">
        <f t="shared" si="76"/>
        <v>37.765207659804901</v>
      </c>
    </row>
    <row r="404" spans="2:12" outlineLevel="1" x14ac:dyDescent="0.25">
      <c r="B404" s="127">
        <f t="shared" si="72"/>
        <v>650</v>
      </c>
      <c r="C404" s="128" cm="1">
        <f t="array" ref="C404">IF(F300&lt;&gt;"",INDEX(J300:Y300,$E$240)*100,"")</f>
        <v>39.811275544782994</v>
      </c>
      <c r="D404" s="63">
        <f t="shared" si="77"/>
        <v>48.079379984375066</v>
      </c>
      <c r="E404" s="116">
        <f t="shared" si="78"/>
        <v>39.811275544782994</v>
      </c>
      <c r="F404" s="127">
        <f t="shared" si="79"/>
        <v>650</v>
      </c>
      <c r="G404" s="63">
        <f t="shared" si="80"/>
        <v>48.079379984375066</v>
      </c>
      <c r="H404" s="63">
        <f t="shared" si="73"/>
        <v>39.48268356097276</v>
      </c>
      <c r="I404" s="116">
        <f t="shared" si="74"/>
        <v>39.48268356097276</v>
      </c>
      <c r="K404">
        <f t="shared" si="75"/>
        <v>0.3</v>
      </c>
      <c r="L404">
        <f t="shared" si="76"/>
        <v>39.48268356097276</v>
      </c>
    </row>
    <row r="405" spans="2:12" outlineLevel="1" x14ac:dyDescent="0.25">
      <c r="B405" s="127">
        <f t="shared" si="72"/>
        <v>660</v>
      </c>
      <c r="C405" s="128" cm="1">
        <f t="array" ref="C405">IF(F301&lt;&gt;"",INDEX(J301:Y301,$E$240)*100,"")</f>
        <v>41.660998979937247</v>
      </c>
      <c r="D405" s="63">
        <f t="shared" si="77"/>
        <v>49.994170266080232</v>
      </c>
      <c r="E405" s="116">
        <f t="shared" si="78"/>
        <v>41.660998979937247</v>
      </c>
      <c r="F405" s="127">
        <f t="shared" si="79"/>
        <v>660</v>
      </c>
      <c r="G405" s="63">
        <f t="shared" si="80"/>
        <v>49.994170266080232</v>
      </c>
      <c r="H405" s="63">
        <f t="shared" si="73"/>
        <v>41.357631866738458</v>
      </c>
      <c r="I405" s="116">
        <f t="shared" si="74"/>
        <v>41.357631866738458</v>
      </c>
      <c r="K405">
        <f t="shared" si="75"/>
        <v>0.32</v>
      </c>
      <c r="L405">
        <f t="shared" si="76"/>
        <v>41.357631866738458</v>
      </c>
    </row>
    <row r="406" spans="2:12" outlineLevel="1" x14ac:dyDescent="0.25">
      <c r="B406" s="127">
        <f t="shared" si="72"/>
        <v>670</v>
      </c>
      <c r="C406" s="128" cm="1">
        <f t="array" ref="C406">IF(F302&lt;&gt;"",INDEX(J302:Y302,$E$240)*100,"")</f>
        <v>43.669037137331877</v>
      </c>
      <c r="D406" s="63">
        <f t="shared" si="77"/>
        <v>52.045537885284944</v>
      </c>
      <c r="E406" s="116">
        <f t="shared" si="78"/>
        <v>43.669037137331877</v>
      </c>
      <c r="F406" s="127">
        <f t="shared" si="79"/>
        <v>670</v>
      </c>
      <c r="G406" s="63">
        <f t="shared" si="80"/>
        <v>52.045537885284944</v>
      </c>
      <c r="H406" s="63">
        <f t="shared" si="73"/>
        <v>43.410513582584947</v>
      </c>
      <c r="I406" s="116">
        <f t="shared" si="74"/>
        <v>43.410513582584947</v>
      </c>
      <c r="K406">
        <f t="shared" si="75"/>
        <v>0.34</v>
      </c>
    </row>
    <row r="407" spans="2:12" outlineLevel="1" x14ac:dyDescent="0.25">
      <c r="B407" s="127">
        <f t="shared" si="72"/>
        <v>680</v>
      </c>
      <c r="C407" s="128" cm="1">
        <f t="array" ref="C407">IF(F303&lt;&gt;"",INDEX(J303:Y303,$E$240)*100,"")</f>
        <v>45.856992814364887</v>
      </c>
      <c r="D407" s="63">
        <f t="shared" si="77"/>
        <v>54.249005008640211</v>
      </c>
      <c r="E407" s="116">
        <f t="shared" si="78"/>
        <v>45.856992814364887</v>
      </c>
      <c r="F407" s="127">
        <f t="shared" si="79"/>
        <v>680</v>
      </c>
      <c r="G407" s="63">
        <f t="shared" si="80"/>
        <v>54.249005008640211</v>
      </c>
      <c r="H407" s="63">
        <f t="shared" si="73"/>
        <v>45.66349854336179</v>
      </c>
      <c r="I407" s="116">
        <f t="shared" si="74"/>
        <v>45.66349854336179</v>
      </c>
      <c r="K407">
        <f t="shared" si="75"/>
        <v>0.36</v>
      </c>
    </row>
    <row r="408" spans="2:12" outlineLevel="1" x14ac:dyDescent="0.25">
      <c r="B408" s="127">
        <f t="shared" si="72"/>
        <v>690</v>
      </c>
      <c r="C408" s="128" cm="1">
        <f t="array" ref="C408">IF(F304&lt;&gt;"",INDEX(J304:Y304,$E$240)*100,"")</f>
        <v>48.249340131225729</v>
      </c>
      <c r="D408" s="63">
        <f t="shared" si="77"/>
        <v>56.621312350595076</v>
      </c>
      <c r="E408" s="116">
        <f t="shared" si="78"/>
        <v>48.249340131225729</v>
      </c>
      <c r="F408" s="127">
        <f t="shared" si="79"/>
        <v>690</v>
      </c>
      <c r="G408" s="63">
        <f t="shared" si="80"/>
        <v>56.621312350595076</v>
      </c>
      <c r="H408" s="63">
        <f t="shared" si="73"/>
        <v>48.140528311582429</v>
      </c>
      <c r="I408" s="116">
        <f t="shared" si="74"/>
        <v>48.140528311582429</v>
      </c>
      <c r="K408">
        <f t="shared" si="75"/>
        <v>0.38</v>
      </c>
    </row>
    <row r="409" spans="2:12" outlineLevel="1" x14ac:dyDescent="0.25">
      <c r="B409" s="127">
        <f t="shared" si="72"/>
        <v>700</v>
      </c>
      <c r="C409" s="128" cm="1">
        <f t="array" ref="C409">IF(F305&lt;&gt;"",INDEX(J305:Y305,$E$240)*100,"")</f>
        <v>50.873870965426548</v>
      </c>
      <c r="D409" s="63">
        <f t="shared" si="77"/>
        <v>59.18046250000009</v>
      </c>
      <c r="E409" s="116">
        <f t="shared" si="78"/>
        <v>50.873870965426548</v>
      </c>
      <c r="F409" s="127">
        <f t="shared" si="79"/>
        <v>700</v>
      </c>
      <c r="G409" s="63">
        <f t="shared" si="80"/>
        <v>59.18046250000009</v>
      </c>
      <c r="H409" s="63">
        <f t="shared" si="73"/>
        <v>50.867379075721253</v>
      </c>
      <c r="I409" s="116">
        <f t="shared" si="74"/>
        <v>50.867379075721253</v>
      </c>
      <c r="K409">
        <f t="shared" si="75"/>
        <v>0.4</v>
      </c>
    </row>
    <row r="410" spans="2:12" outlineLevel="1" x14ac:dyDescent="0.25">
      <c r="B410" s="127">
        <f t="shared" si="72"/>
        <v>710</v>
      </c>
      <c r="C410" s="128" cm="1">
        <f t="array" ref="C410">IF(F306&lt;&gt;"",INDEX(J306:Y306,$E$240)*100,"")</f>
        <v>53.762239313771119</v>
      </c>
      <c r="D410" s="63">
        <f t="shared" si="77"/>
        <v>61.945763246705269</v>
      </c>
      <c r="E410" s="116">
        <f t="shared" si="78"/>
        <v>53.762239313771119</v>
      </c>
      <c r="F410" s="127">
        <f t="shared" si="79"/>
        <v>710</v>
      </c>
      <c r="G410" s="63">
        <f t="shared" si="80"/>
        <v>61.945763246705269</v>
      </c>
      <c r="H410" s="63">
        <f t="shared" si="73"/>
        <v>53.871724548510812</v>
      </c>
      <c r="I410" s="116">
        <f t="shared" si="74"/>
        <v>53.871724548510812</v>
      </c>
      <c r="K410">
        <f t="shared" si="75"/>
        <v>0.42</v>
      </c>
    </row>
    <row r="411" spans="2:12" outlineLevel="1" x14ac:dyDescent="0.25">
      <c r="B411" s="127">
        <f t="shared" si="72"/>
        <v>720</v>
      </c>
      <c r="C411" s="128" cm="1">
        <f t="array" ref="C411">IF(F307&lt;&gt;"",INDEX(J307:Y307,$E$240)*100,"")</f>
        <v>56.950629600502452</v>
      </c>
      <c r="D411" s="63">
        <f t="shared" si="77"/>
        <v>64.937870908159994</v>
      </c>
      <c r="E411" s="116">
        <f t="shared" si="78"/>
        <v>56.950629600502452</v>
      </c>
      <c r="F411" s="127">
        <f t="shared" si="79"/>
        <v>720</v>
      </c>
      <c r="G411" s="63">
        <f t="shared" si="80"/>
        <v>64.937870908159994</v>
      </c>
      <c r="H411" s="63">
        <f t="shared" si="73"/>
        <v>57.183198865239063</v>
      </c>
      <c r="I411" s="116">
        <f t="shared" si="74"/>
        <v>57.183198865239063</v>
      </c>
      <c r="K411">
        <f t="shared" si="75"/>
        <v>0.44</v>
      </c>
    </row>
    <row r="412" spans="2:12" outlineLevel="1" x14ac:dyDescent="0.25">
      <c r="B412" s="127">
        <f t="shared" si="72"/>
        <v>730</v>
      </c>
      <c r="C412" s="128" cm="1">
        <f t="array" ref="C412">IF(F308&lt;&gt;"",INDEX(J308:Y308,$E$240)*100,"")</f>
        <v>60.480582899864089</v>
      </c>
      <c r="D412" s="63">
        <f t="shared" si="77"/>
        <v>68.178833656015058</v>
      </c>
      <c r="E412" s="116">
        <f t="shared" si="78"/>
        <v>60.480582899864089</v>
      </c>
      <c r="F412" s="127">
        <f t="shared" si="79"/>
        <v>730</v>
      </c>
      <c r="G412" s="63">
        <f t="shared" si="80"/>
        <v>68.178833656015058</v>
      </c>
      <c r="H412" s="63">
        <f t="shared" si="73"/>
        <v>60.833459482046365</v>
      </c>
      <c r="I412" s="116">
        <f t="shared" si="74"/>
        <v>60.833459482046365</v>
      </c>
      <c r="K412">
        <f t="shared" si="75"/>
        <v>0.46</v>
      </c>
    </row>
    <row r="413" spans="2:12" outlineLevel="1" x14ac:dyDescent="0.25">
      <c r="B413" s="127">
        <f t="shared" si="72"/>
        <v>740</v>
      </c>
      <c r="C413" s="128" cm="1">
        <f t="array" ref="C413">IF(F309&lt;&gt;"",INDEX(J309:Y309,$E$240)*100,"")</f>
        <v>64.400025851052078</v>
      </c>
      <c r="D413" s="63">
        <f t="shared" si="77"/>
        <v>71.692134842719838</v>
      </c>
      <c r="E413" s="116">
        <f t="shared" si="78"/>
        <v>64.400025851052078</v>
      </c>
      <c r="F413" s="127">
        <f t="shared" si="79"/>
        <v>740</v>
      </c>
      <c r="G413" s="63">
        <f t="shared" si="80"/>
        <v>71.692134842719838</v>
      </c>
      <c r="H413" s="63">
        <f t="shared" si="73"/>
        <v>64.856250074222828</v>
      </c>
      <c r="I413" s="116">
        <f t="shared" si="74"/>
        <v>64.856250074222828</v>
      </c>
      <c r="K413">
        <f t="shared" si="75"/>
        <v>0.48</v>
      </c>
    </row>
    <row r="414" spans="2:12" outlineLevel="1" x14ac:dyDescent="0.25">
      <c r="B414" s="127">
        <f t="shared" si="72"/>
        <v>750</v>
      </c>
      <c r="C414" s="128" cm="1">
        <f t="array" ref="C414">IF(F310&lt;&gt;"",INDEX(J310:Y310,$E$240)*100,"")</f>
        <v>68.764561910513976</v>
      </c>
      <c r="D414" s="63">
        <f t="shared" ref="D414:D445" si="81">IF(F310&lt;&gt;"",F310,"")</f>
        <v>75.502736328125252</v>
      </c>
      <c r="E414" s="116">
        <f t="shared" ref="E414:E449" si="82">IF(AND(C414&lt;&gt;"",C414&lt;=100),C414,0)</f>
        <v>68.764561910513976</v>
      </c>
      <c r="F414" s="127">
        <f t="shared" ref="F414:F449" si="83">IF(B414="",NA(),B414)</f>
        <v>750</v>
      </c>
      <c r="G414" s="63">
        <f t="shared" ref="G414:G449" si="84">IF(D414="",NA(),D414)</f>
        <v>75.502736328125252</v>
      </c>
      <c r="H414" s="63">
        <f t="shared" si="73"/>
        <v>69.287463434505398</v>
      </c>
      <c r="I414" s="116">
        <f t="shared" si="74"/>
        <v>69.287463434505398</v>
      </c>
      <c r="K414">
        <f t="shared" si="75"/>
        <v>0.5</v>
      </c>
    </row>
    <row r="415" spans="2:12" outlineLevel="1" x14ac:dyDescent="0.25">
      <c r="B415" s="127">
        <f t="shared" ref="B415:B449" si="85">IF(AND(E311&lt;&gt;"",C415&lt;=100,D415&lt;=100),E311,"")</f>
        <v>760</v>
      </c>
      <c r="C415" s="128" cm="1">
        <f t="array" ref="C415">IF(F311&lt;&gt;"",INDEX(J311:Y311,$E$240)*100,"")</f>
        <v>73.639105281458413</v>
      </c>
      <c r="D415" s="63">
        <f t="shared" si="81"/>
        <v>79.637121806080586</v>
      </c>
      <c r="E415" s="116">
        <f t="shared" si="82"/>
        <v>73.639105281458413</v>
      </c>
      <c r="F415" s="127">
        <f t="shared" si="83"/>
        <v>760</v>
      </c>
      <c r="G415" s="63">
        <f t="shared" si="84"/>
        <v>79.637121806080586</v>
      </c>
      <c r="H415" s="63">
        <f t="shared" ref="H415:H449" si="86">IF(F415="",NA(),$B$556+$C$556*((F415-500)/500)+$D$556*((F415-500)/500)^2+$E$556*((F415-500)/500)^3+$F$556*((F415-500)/500)^4+$G$556*((F415-500)/500)^5)</f>
        <v>74.165204371375012</v>
      </c>
      <c r="I415" s="116">
        <f t="shared" ref="I415:I449" si="87">IF(OR(H415&lt;0,H415&gt;100),NA(),H415)</f>
        <v>74.165204371375012</v>
      </c>
      <c r="K415">
        <f t="shared" ref="K415:K449" si="88">IF(B415&lt;&gt;"",(B415-500)/500,"")</f>
        <v>0.52</v>
      </c>
    </row>
    <row r="416" spans="2:12" outlineLevel="1" x14ac:dyDescent="0.25">
      <c r="B416" s="127">
        <f t="shared" si="85"/>
        <v>770</v>
      </c>
      <c r="C416" s="128" cm="1">
        <f t="array" ref="C416">IF(F312&lt;&gt;"",INDEX(J312:Y312,$E$240)*100,"")</f>
        <v>79.099967041573635</v>
      </c>
      <c r="D416" s="63">
        <f t="shared" si="81"/>
        <v>84.123340131035206</v>
      </c>
      <c r="E416" s="116">
        <f t="shared" si="82"/>
        <v>79.099967041573635</v>
      </c>
      <c r="F416" s="127">
        <f t="shared" si="83"/>
        <v>770</v>
      </c>
      <c r="G416" s="63">
        <f t="shared" si="84"/>
        <v>84.123340131035206</v>
      </c>
      <c r="H416" s="63">
        <f t="shared" si="86"/>
        <v>79.529852607353817</v>
      </c>
      <c r="I416" s="116">
        <f t="shared" si="87"/>
        <v>79.529852607353817</v>
      </c>
      <c r="K416">
        <f t="shared" si="88"/>
        <v>0.54</v>
      </c>
    </row>
    <row r="417" spans="2:12" outlineLevel="1" x14ac:dyDescent="0.25">
      <c r="B417" s="127">
        <f t="shared" si="85"/>
        <v>780</v>
      </c>
      <c r="C417" s="128" cm="1">
        <f t="array" ref="C417">IF(F313&lt;&gt;"",INDEX(J313:Y313,$E$240)*100,"")</f>
        <v>85.237544711139492</v>
      </c>
      <c r="D417" s="63">
        <f t="shared" si="81"/>
        <v>88.991048644640387</v>
      </c>
      <c r="E417" s="116">
        <f t="shared" si="82"/>
        <v>85.237544711139492</v>
      </c>
      <c r="F417" s="127">
        <f t="shared" si="83"/>
        <v>780</v>
      </c>
      <c r="G417" s="63">
        <f t="shared" si="84"/>
        <v>88.991048644640387</v>
      </c>
      <c r="H417" s="63">
        <f t="shared" si="86"/>
        <v>85.424125677302285</v>
      </c>
      <c r="I417" s="116">
        <f t="shared" si="87"/>
        <v>85.424125677302285</v>
      </c>
      <c r="K417">
        <f t="shared" si="88"/>
        <v>0.56000000000000005</v>
      </c>
    </row>
    <row r="418" spans="2:12" outlineLevel="1" x14ac:dyDescent="0.25">
      <c r="B418" s="127">
        <f t="shared" si="85"/>
        <v>790</v>
      </c>
      <c r="C418" s="128" cm="1">
        <f t="array" ref="C418">IF(F314&lt;&gt;"",INDEX(J314:Y314,$E$240)*100,"")</f>
        <v>92.159827054210496</v>
      </c>
      <c r="D418" s="63">
        <f t="shared" si="81"/>
        <v>94.27155650234522</v>
      </c>
      <c r="E418" s="116">
        <f t="shared" si="82"/>
        <v>92.159827054210496</v>
      </c>
      <c r="F418" s="127">
        <f t="shared" si="83"/>
        <v>790</v>
      </c>
      <c r="G418" s="63">
        <f t="shared" si="84"/>
        <v>94.27155650234522</v>
      </c>
      <c r="H418" s="63">
        <f t="shared" si="86"/>
        <v>91.89314182671643</v>
      </c>
      <c r="I418" s="116">
        <f t="shared" si="87"/>
        <v>91.89314182671643</v>
      </c>
      <c r="K418">
        <f t="shared" si="88"/>
        <v>0.57999999999999996</v>
      </c>
    </row>
    <row r="419" spans="2:12" outlineLevel="1" x14ac:dyDescent="0.25">
      <c r="B419" s="127">
        <f t="shared" si="85"/>
        <v>800</v>
      </c>
      <c r="C419" s="128" cm="1">
        <f t="array" ref="C419">IF(F315&lt;&gt;"",INDEX(J315:Y315,$E$240)*100,"")</f>
        <v>99.997015225455016</v>
      </c>
      <c r="D419" s="63">
        <f t="shared" si="81"/>
        <v>99.997868000000608</v>
      </c>
      <c r="E419" s="116">
        <f t="shared" si="82"/>
        <v>99.997015225455016</v>
      </c>
      <c r="F419" s="127">
        <f t="shared" si="83"/>
        <v>800</v>
      </c>
      <c r="G419" s="63">
        <f t="shared" si="84"/>
        <v>99.997868000000608</v>
      </c>
      <c r="H419" s="63">
        <f t="shared" si="86"/>
        <v>98.984482910025022</v>
      </c>
      <c r="I419" s="116">
        <f t="shared" si="87"/>
        <v>98.984482910025022</v>
      </c>
      <c r="K419">
        <f t="shared" si="88"/>
        <v>0.6</v>
      </c>
    </row>
    <row r="420" spans="2:12" outlineLevel="1" x14ac:dyDescent="0.25">
      <c r="B420" s="127" t="str">
        <f t="shared" si="85"/>
        <v/>
      </c>
      <c r="C420" s="128" t="str" cm="1">
        <f t="array" ref="C420">IF(F316&lt;&gt;"",INDEX(J316:Y316,$E$240)*100,"")</f>
        <v/>
      </c>
      <c r="D420" s="63" t="str">
        <f t="shared" si="81"/>
        <v/>
      </c>
      <c r="E420" s="116">
        <f t="shared" si="82"/>
        <v>0</v>
      </c>
      <c r="F420" s="127" t="e">
        <f t="shared" si="83"/>
        <v>#N/A</v>
      </c>
      <c r="G420" s="63" t="e">
        <f t="shared" si="84"/>
        <v>#N/A</v>
      </c>
      <c r="H420" s="63" t="e">
        <f t="shared" si="86"/>
        <v>#N/A</v>
      </c>
      <c r="I420" s="116" t="e">
        <f t="shared" si="87"/>
        <v>#N/A</v>
      </c>
      <c r="K420" t="str">
        <f t="shared" si="88"/>
        <v/>
      </c>
      <c r="L420" t="e">
        <f t="shared" ref="L420:L449" si="89">IF(F420="",NA(),$B$556+$C$556*((F420-500)/500)+$D$556*((F420-500)/500)^2+$E$556*((F420-500)/500)^3+$F$556*((F420-500)/500)^4+$G$556*((F420-500)/500)^5)</f>
        <v>#N/A</v>
      </c>
    </row>
    <row r="421" spans="2:12" outlineLevel="1" x14ac:dyDescent="0.25">
      <c r="B421" s="127" t="str">
        <f t="shared" si="85"/>
        <v/>
      </c>
      <c r="C421" s="128" t="str" cm="1">
        <f t="array" ref="C421">IF(F317&lt;&gt;"",INDEX(J317:Y317,$E$240)*100,"")</f>
        <v/>
      </c>
      <c r="D421" s="63" t="str">
        <f t="shared" si="81"/>
        <v/>
      </c>
      <c r="E421" s="116">
        <f t="shared" si="82"/>
        <v>0</v>
      </c>
      <c r="F421" s="127" t="e">
        <f t="shared" si="83"/>
        <v>#N/A</v>
      </c>
      <c r="G421" s="63" t="e">
        <f t="shared" si="84"/>
        <v>#N/A</v>
      </c>
      <c r="H421" s="63" t="e">
        <f t="shared" si="86"/>
        <v>#N/A</v>
      </c>
      <c r="I421" s="116" t="e">
        <f t="shared" si="87"/>
        <v>#N/A</v>
      </c>
      <c r="K421" t="str">
        <f t="shared" si="88"/>
        <v/>
      </c>
      <c r="L421" t="e">
        <f t="shared" si="89"/>
        <v>#N/A</v>
      </c>
    </row>
    <row r="422" spans="2:12" outlineLevel="1" x14ac:dyDescent="0.25">
      <c r="B422" s="127" t="str">
        <f t="shared" si="85"/>
        <v/>
      </c>
      <c r="C422" s="128" t="str" cm="1">
        <f t="array" ref="C422">IF(F318&lt;&gt;"",INDEX(J318:Y318,$E$240)*100,"")</f>
        <v/>
      </c>
      <c r="D422" s="63" t="str">
        <f t="shared" si="81"/>
        <v/>
      </c>
      <c r="E422" s="116">
        <f t="shared" si="82"/>
        <v>0</v>
      </c>
      <c r="F422" s="127" t="e">
        <f t="shared" si="83"/>
        <v>#N/A</v>
      </c>
      <c r="G422" s="63" t="e">
        <f t="shared" si="84"/>
        <v>#N/A</v>
      </c>
      <c r="H422" s="63" t="e">
        <f t="shared" si="86"/>
        <v>#N/A</v>
      </c>
      <c r="I422" s="116" t="e">
        <f t="shared" si="87"/>
        <v>#N/A</v>
      </c>
      <c r="K422" t="str">
        <f t="shared" si="88"/>
        <v/>
      </c>
      <c r="L422" t="e">
        <f t="shared" si="89"/>
        <v>#N/A</v>
      </c>
    </row>
    <row r="423" spans="2:12" outlineLevel="1" x14ac:dyDescent="0.25">
      <c r="B423" s="127" t="str">
        <f t="shared" si="85"/>
        <v/>
      </c>
      <c r="C423" s="128" t="str" cm="1">
        <f t="array" ref="C423">IF(F319&lt;&gt;"",INDEX(J319:Y319,$E$240)*100,"")</f>
        <v/>
      </c>
      <c r="D423" s="63" t="str">
        <f t="shared" si="81"/>
        <v/>
      </c>
      <c r="E423" s="116">
        <f t="shared" si="82"/>
        <v>0</v>
      </c>
      <c r="F423" s="127" t="e">
        <f t="shared" si="83"/>
        <v>#N/A</v>
      </c>
      <c r="G423" s="63" t="e">
        <f t="shared" si="84"/>
        <v>#N/A</v>
      </c>
      <c r="H423" s="63" t="e">
        <f t="shared" si="86"/>
        <v>#N/A</v>
      </c>
      <c r="I423" s="116" t="e">
        <f t="shared" si="87"/>
        <v>#N/A</v>
      </c>
      <c r="K423" t="str">
        <f t="shared" si="88"/>
        <v/>
      </c>
      <c r="L423" t="e">
        <f t="shared" si="89"/>
        <v>#N/A</v>
      </c>
    </row>
    <row r="424" spans="2:12" outlineLevel="1" x14ac:dyDescent="0.25">
      <c r="B424" s="127" t="str">
        <f t="shared" si="85"/>
        <v/>
      </c>
      <c r="C424" s="128" t="str" cm="1">
        <f t="array" ref="C424">IF(F320&lt;&gt;"",INDEX(J320:Y320,$E$240)*100,"")</f>
        <v/>
      </c>
      <c r="D424" s="63" t="str">
        <f t="shared" si="81"/>
        <v/>
      </c>
      <c r="E424" s="116">
        <f t="shared" si="82"/>
        <v>0</v>
      </c>
      <c r="F424" s="127" t="e">
        <f t="shared" si="83"/>
        <v>#N/A</v>
      </c>
      <c r="G424" s="63" t="e">
        <f t="shared" si="84"/>
        <v>#N/A</v>
      </c>
      <c r="H424" s="63" t="e">
        <f t="shared" si="86"/>
        <v>#N/A</v>
      </c>
      <c r="I424" s="116" t="e">
        <f t="shared" si="87"/>
        <v>#N/A</v>
      </c>
      <c r="K424" t="str">
        <f t="shared" si="88"/>
        <v/>
      </c>
      <c r="L424" t="e">
        <f t="shared" si="89"/>
        <v>#N/A</v>
      </c>
    </row>
    <row r="425" spans="2:12" outlineLevel="1" x14ac:dyDescent="0.25">
      <c r="B425" s="127" t="str">
        <f t="shared" si="85"/>
        <v/>
      </c>
      <c r="C425" s="128" t="str" cm="1">
        <f t="array" ref="C425">IF(F321&lt;&gt;"",INDEX(J321:Y321,$E$240)*100,"")</f>
        <v/>
      </c>
      <c r="D425" s="63" t="str">
        <f t="shared" si="81"/>
        <v/>
      </c>
      <c r="E425" s="116">
        <f t="shared" si="82"/>
        <v>0</v>
      </c>
      <c r="F425" s="127" t="e">
        <f t="shared" si="83"/>
        <v>#N/A</v>
      </c>
      <c r="G425" s="63" t="e">
        <f t="shared" si="84"/>
        <v>#N/A</v>
      </c>
      <c r="H425" s="63" t="e">
        <f t="shared" si="86"/>
        <v>#N/A</v>
      </c>
      <c r="I425" s="116" t="e">
        <f t="shared" si="87"/>
        <v>#N/A</v>
      </c>
      <c r="K425" t="str">
        <f t="shared" si="88"/>
        <v/>
      </c>
      <c r="L425" t="e">
        <f t="shared" si="89"/>
        <v>#N/A</v>
      </c>
    </row>
    <row r="426" spans="2:12" outlineLevel="1" x14ac:dyDescent="0.25">
      <c r="B426" s="127" t="str">
        <f t="shared" si="85"/>
        <v/>
      </c>
      <c r="C426" s="128" t="str" cm="1">
        <f t="array" ref="C426">IF(F322&lt;&gt;"",INDEX(J322:Y322,$E$240)*100,"")</f>
        <v/>
      </c>
      <c r="D426" s="63" t="str">
        <f t="shared" si="81"/>
        <v/>
      </c>
      <c r="E426" s="116">
        <f t="shared" si="82"/>
        <v>0</v>
      </c>
      <c r="F426" s="127" t="e">
        <f t="shared" si="83"/>
        <v>#N/A</v>
      </c>
      <c r="G426" s="63" t="e">
        <f t="shared" si="84"/>
        <v>#N/A</v>
      </c>
      <c r="H426" s="63" t="e">
        <f t="shared" si="86"/>
        <v>#N/A</v>
      </c>
      <c r="I426" s="116" t="e">
        <f t="shared" si="87"/>
        <v>#N/A</v>
      </c>
      <c r="K426" t="str">
        <f t="shared" si="88"/>
        <v/>
      </c>
      <c r="L426" t="e">
        <f t="shared" si="89"/>
        <v>#N/A</v>
      </c>
    </row>
    <row r="427" spans="2:12" outlineLevel="1" x14ac:dyDescent="0.25">
      <c r="B427" s="127" t="str">
        <f t="shared" si="85"/>
        <v/>
      </c>
      <c r="C427" s="128" t="str" cm="1">
        <f t="array" ref="C427">IF(F323&lt;&gt;"",INDEX(J323:Y323,$E$240)*100,"")</f>
        <v/>
      </c>
      <c r="D427" s="63" t="str">
        <f t="shared" si="81"/>
        <v/>
      </c>
      <c r="E427" s="116">
        <f t="shared" si="82"/>
        <v>0</v>
      </c>
      <c r="F427" s="127" t="e">
        <f t="shared" si="83"/>
        <v>#N/A</v>
      </c>
      <c r="G427" s="63" t="e">
        <f t="shared" si="84"/>
        <v>#N/A</v>
      </c>
      <c r="H427" s="63" t="e">
        <f t="shared" si="86"/>
        <v>#N/A</v>
      </c>
      <c r="I427" s="116" t="e">
        <f t="shared" si="87"/>
        <v>#N/A</v>
      </c>
      <c r="K427" t="str">
        <f t="shared" si="88"/>
        <v/>
      </c>
      <c r="L427" t="e">
        <f t="shared" si="89"/>
        <v>#N/A</v>
      </c>
    </row>
    <row r="428" spans="2:12" outlineLevel="1" x14ac:dyDescent="0.25">
      <c r="B428" s="127" t="str">
        <f t="shared" si="85"/>
        <v/>
      </c>
      <c r="C428" s="128" t="str" cm="1">
        <f t="array" ref="C428">IF(F324&lt;&gt;"",INDEX(J324:Y324,$E$240)*100,"")</f>
        <v/>
      </c>
      <c r="D428" s="63" t="str">
        <f t="shared" si="81"/>
        <v/>
      </c>
      <c r="E428" s="116">
        <f t="shared" si="82"/>
        <v>0</v>
      </c>
      <c r="F428" s="127" t="e">
        <f t="shared" si="83"/>
        <v>#N/A</v>
      </c>
      <c r="G428" s="63" t="e">
        <f t="shared" si="84"/>
        <v>#N/A</v>
      </c>
      <c r="H428" s="63" t="e">
        <f t="shared" si="86"/>
        <v>#N/A</v>
      </c>
      <c r="I428" s="116" t="e">
        <f t="shared" si="87"/>
        <v>#N/A</v>
      </c>
      <c r="K428" t="str">
        <f t="shared" si="88"/>
        <v/>
      </c>
      <c r="L428" t="e">
        <f t="shared" si="89"/>
        <v>#N/A</v>
      </c>
    </row>
    <row r="429" spans="2:12" outlineLevel="1" x14ac:dyDescent="0.25">
      <c r="B429" s="127" t="str">
        <f t="shared" si="85"/>
        <v/>
      </c>
      <c r="C429" s="128" t="str" cm="1">
        <f t="array" ref="C429">IF(F325&lt;&gt;"",INDEX(J325:Y325,$E$240)*100,"")</f>
        <v/>
      </c>
      <c r="D429" s="63" t="str">
        <f t="shared" si="81"/>
        <v/>
      </c>
      <c r="E429" s="116">
        <f t="shared" si="82"/>
        <v>0</v>
      </c>
      <c r="F429" s="127" t="e">
        <f t="shared" si="83"/>
        <v>#N/A</v>
      </c>
      <c r="G429" s="63" t="e">
        <f t="shared" si="84"/>
        <v>#N/A</v>
      </c>
      <c r="H429" s="63" t="e">
        <f t="shared" si="86"/>
        <v>#N/A</v>
      </c>
      <c r="I429" s="116" t="e">
        <f t="shared" si="87"/>
        <v>#N/A</v>
      </c>
      <c r="K429" t="str">
        <f t="shared" si="88"/>
        <v/>
      </c>
      <c r="L429" t="e">
        <f t="shared" si="89"/>
        <v>#N/A</v>
      </c>
    </row>
    <row r="430" spans="2:12" outlineLevel="1" x14ac:dyDescent="0.25">
      <c r="B430" s="127" t="str">
        <f t="shared" si="85"/>
        <v/>
      </c>
      <c r="C430" s="128" t="str" cm="1">
        <f t="array" ref="C430">IF(F326&lt;&gt;"",INDEX(J326:Y326,$E$240)*100,"")</f>
        <v/>
      </c>
      <c r="D430" s="63" t="str">
        <f t="shared" si="81"/>
        <v/>
      </c>
      <c r="E430" s="116">
        <f t="shared" si="82"/>
        <v>0</v>
      </c>
      <c r="F430" s="127" t="e">
        <f t="shared" si="83"/>
        <v>#N/A</v>
      </c>
      <c r="G430" s="63" t="e">
        <f t="shared" si="84"/>
        <v>#N/A</v>
      </c>
      <c r="H430" s="63" t="e">
        <f t="shared" si="86"/>
        <v>#N/A</v>
      </c>
      <c r="I430" s="116" t="e">
        <f t="shared" si="87"/>
        <v>#N/A</v>
      </c>
      <c r="K430" t="str">
        <f t="shared" si="88"/>
        <v/>
      </c>
      <c r="L430" t="e">
        <f t="shared" si="89"/>
        <v>#N/A</v>
      </c>
    </row>
    <row r="431" spans="2:12" outlineLevel="1" x14ac:dyDescent="0.25">
      <c r="B431" s="127" t="str">
        <f t="shared" si="85"/>
        <v/>
      </c>
      <c r="C431" s="128" t="str" cm="1">
        <f t="array" ref="C431">IF(F327&lt;&gt;"",INDEX(J327:Y327,$E$240)*100,"")</f>
        <v/>
      </c>
      <c r="D431" s="63" t="str">
        <f t="shared" si="81"/>
        <v/>
      </c>
      <c r="E431" s="116">
        <f t="shared" si="82"/>
        <v>0</v>
      </c>
      <c r="F431" s="127" t="e">
        <f t="shared" si="83"/>
        <v>#N/A</v>
      </c>
      <c r="G431" s="63" t="e">
        <f t="shared" si="84"/>
        <v>#N/A</v>
      </c>
      <c r="H431" s="63" t="e">
        <f t="shared" si="86"/>
        <v>#N/A</v>
      </c>
      <c r="I431" s="116" t="e">
        <f t="shared" si="87"/>
        <v>#N/A</v>
      </c>
      <c r="K431" t="str">
        <f t="shared" si="88"/>
        <v/>
      </c>
      <c r="L431" t="e">
        <f t="shared" si="89"/>
        <v>#N/A</v>
      </c>
    </row>
    <row r="432" spans="2:12" outlineLevel="1" x14ac:dyDescent="0.25">
      <c r="B432" s="127" t="str">
        <f t="shared" si="85"/>
        <v/>
      </c>
      <c r="C432" s="128" t="str" cm="1">
        <f t="array" ref="C432">IF(F328&lt;&gt;"",INDEX(J328:Y328,$E$240)*100,"")</f>
        <v/>
      </c>
      <c r="D432" s="63" t="str">
        <f t="shared" si="81"/>
        <v/>
      </c>
      <c r="E432" s="116">
        <f t="shared" si="82"/>
        <v>0</v>
      </c>
      <c r="F432" s="127" t="e">
        <f t="shared" si="83"/>
        <v>#N/A</v>
      </c>
      <c r="G432" s="63" t="e">
        <f t="shared" si="84"/>
        <v>#N/A</v>
      </c>
      <c r="H432" s="63" t="e">
        <f t="shared" si="86"/>
        <v>#N/A</v>
      </c>
      <c r="I432" s="116" t="e">
        <f t="shared" si="87"/>
        <v>#N/A</v>
      </c>
      <c r="K432" t="str">
        <f t="shared" si="88"/>
        <v/>
      </c>
      <c r="L432" t="e">
        <f t="shared" si="89"/>
        <v>#N/A</v>
      </c>
    </row>
    <row r="433" spans="2:12" outlineLevel="1" x14ac:dyDescent="0.25">
      <c r="B433" s="127" t="str">
        <f t="shared" si="85"/>
        <v/>
      </c>
      <c r="C433" s="128" t="str" cm="1">
        <f t="array" ref="C433">IF(F329&lt;&gt;"",INDEX(J329:Y329,$E$240)*100,"")</f>
        <v/>
      </c>
      <c r="D433" s="63" t="str">
        <f t="shared" si="81"/>
        <v/>
      </c>
      <c r="E433" s="116">
        <f t="shared" si="82"/>
        <v>0</v>
      </c>
      <c r="F433" s="127" t="e">
        <f t="shared" si="83"/>
        <v>#N/A</v>
      </c>
      <c r="G433" s="63" t="e">
        <f t="shared" si="84"/>
        <v>#N/A</v>
      </c>
      <c r="H433" s="63" t="e">
        <f t="shared" si="86"/>
        <v>#N/A</v>
      </c>
      <c r="I433" s="116" t="e">
        <f t="shared" si="87"/>
        <v>#N/A</v>
      </c>
      <c r="K433" t="str">
        <f t="shared" si="88"/>
        <v/>
      </c>
      <c r="L433" t="e">
        <f t="shared" si="89"/>
        <v>#N/A</v>
      </c>
    </row>
    <row r="434" spans="2:12" outlineLevel="1" x14ac:dyDescent="0.25">
      <c r="B434" s="127" t="str">
        <f t="shared" si="85"/>
        <v/>
      </c>
      <c r="C434" s="128" t="str" cm="1">
        <f t="array" ref="C434">IF(F330&lt;&gt;"",INDEX(J330:Y330,$E$240)*100,"")</f>
        <v/>
      </c>
      <c r="D434" s="63" t="str">
        <f t="shared" si="81"/>
        <v/>
      </c>
      <c r="E434" s="116">
        <f t="shared" si="82"/>
        <v>0</v>
      </c>
      <c r="F434" s="127" t="e">
        <f t="shared" si="83"/>
        <v>#N/A</v>
      </c>
      <c r="G434" s="63" t="e">
        <f t="shared" si="84"/>
        <v>#N/A</v>
      </c>
      <c r="H434" s="63" t="e">
        <f t="shared" si="86"/>
        <v>#N/A</v>
      </c>
      <c r="I434" s="116" t="e">
        <f t="shared" si="87"/>
        <v>#N/A</v>
      </c>
      <c r="K434" t="str">
        <f t="shared" si="88"/>
        <v/>
      </c>
      <c r="L434" t="e">
        <f t="shared" si="89"/>
        <v>#N/A</v>
      </c>
    </row>
    <row r="435" spans="2:12" outlineLevel="1" x14ac:dyDescent="0.25">
      <c r="B435" s="127" t="str">
        <f t="shared" si="85"/>
        <v/>
      </c>
      <c r="C435" s="128" t="str" cm="1">
        <f t="array" ref="C435">IF(F331&lt;&gt;"",INDEX(J331:Y331,$E$240)*100,"")</f>
        <v/>
      </c>
      <c r="D435" s="63" t="str">
        <f t="shared" si="81"/>
        <v/>
      </c>
      <c r="E435" s="116">
        <f t="shared" si="82"/>
        <v>0</v>
      </c>
      <c r="F435" s="127" t="e">
        <f t="shared" si="83"/>
        <v>#N/A</v>
      </c>
      <c r="G435" s="63" t="e">
        <f t="shared" si="84"/>
        <v>#N/A</v>
      </c>
      <c r="H435" s="63" t="e">
        <f t="shared" si="86"/>
        <v>#N/A</v>
      </c>
      <c r="I435" s="116" t="e">
        <f t="shared" si="87"/>
        <v>#N/A</v>
      </c>
      <c r="K435" t="str">
        <f t="shared" si="88"/>
        <v/>
      </c>
      <c r="L435" t="e">
        <f t="shared" si="89"/>
        <v>#N/A</v>
      </c>
    </row>
    <row r="436" spans="2:12" outlineLevel="1" x14ac:dyDescent="0.25">
      <c r="B436" s="127" t="str">
        <f t="shared" si="85"/>
        <v/>
      </c>
      <c r="C436" s="128" t="str" cm="1">
        <f t="array" ref="C436">IF(F332&lt;&gt;"",INDEX(J332:Y332,$E$240)*100,"")</f>
        <v/>
      </c>
      <c r="D436" s="63" t="str">
        <f t="shared" si="81"/>
        <v/>
      </c>
      <c r="E436" s="116">
        <f t="shared" si="82"/>
        <v>0</v>
      </c>
      <c r="F436" s="127" t="e">
        <f t="shared" si="83"/>
        <v>#N/A</v>
      </c>
      <c r="G436" s="63" t="e">
        <f t="shared" si="84"/>
        <v>#N/A</v>
      </c>
      <c r="H436" s="63" t="e">
        <f t="shared" si="86"/>
        <v>#N/A</v>
      </c>
      <c r="I436" s="116" t="e">
        <f t="shared" si="87"/>
        <v>#N/A</v>
      </c>
      <c r="K436" t="str">
        <f t="shared" si="88"/>
        <v/>
      </c>
      <c r="L436" t="e">
        <f t="shared" si="89"/>
        <v>#N/A</v>
      </c>
    </row>
    <row r="437" spans="2:12" outlineLevel="1" x14ac:dyDescent="0.25">
      <c r="B437" s="127" t="str">
        <f t="shared" si="85"/>
        <v/>
      </c>
      <c r="C437" s="128" t="str" cm="1">
        <f t="array" ref="C437">IF(F333&lt;&gt;"",INDEX(J333:Y333,$E$240)*100,"")</f>
        <v/>
      </c>
      <c r="D437" s="63" t="str">
        <f t="shared" si="81"/>
        <v/>
      </c>
      <c r="E437" s="116">
        <f t="shared" si="82"/>
        <v>0</v>
      </c>
      <c r="F437" s="127" t="e">
        <f t="shared" si="83"/>
        <v>#N/A</v>
      </c>
      <c r="G437" s="63" t="e">
        <f t="shared" si="84"/>
        <v>#N/A</v>
      </c>
      <c r="H437" s="63" t="e">
        <f t="shared" si="86"/>
        <v>#N/A</v>
      </c>
      <c r="I437" s="116" t="e">
        <f t="shared" si="87"/>
        <v>#N/A</v>
      </c>
      <c r="K437" t="str">
        <f t="shared" si="88"/>
        <v/>
      </c>
      <c r="L437" t="e">
        <f t="shared" si="89"/>
        <v>#N/A</v>
      </c>
    </row>
    <row r="438" spans="2:12" outlineLevel="1" x14ac:dyDescent="0.25">
      <c r="B438" s="127" t="str">
        <f t="shared" si="85"/>
        <v/>
      </c>
      <c r="C438" s="128" t="str" cm="1">
        <f t="array" ref="C438">IF(F334&lt;&gt;"",INDEX(J334:Y334,$E$240)*100,"")</f>
        <v/>
      </c>
      <c r="D438" s="63" t="str">
        <f t="shared" si="81"/>
        <v/>
      </c>
      <c r="E438" s="116">
        <f t="shared" si="82"/>
        <v>0</v>
      </c>
      <c r="F438" s="127" t="e">
        <f t="shared" si="83"/>
        <v>#N/A</v>
      </c>
      <c r="G438" s="63" t="e">
        <f t="shared" si="84"/>
        <v>#N/A</v>
      </c>
      <c r="H438" s="63" t="e">
        <f t="shared" si="86"/>
        <v>#N/A</v>
      </c>
      <c r="I438" s="116" t="e">
        <f t="shared" si="87"/>
        <v>#N/A</v>
      </c>
      <c r="K438" t="str">
        <f t="shared" si="88"/>
        <v/>
      </c>
      <c r="L438" t="e">
        <f t="shared" si="89"/>
        <v>#N/A</v>
      </c>
    </row>
    <row r="439" spans="2:12" outlineLevel="1" x14ac:dyDescent="0.25">
      <c r="B439" s="127" t="str">
        <f t="shared" si="85"/>
        <v/>
      </c>
      <c r="C439" s="128" t="str" cm="1">
        <f t="array" ref="C439">IF(F335&lt;&gt;"",INDEX(J335:Y335,$E$240)*100,"")</f>
        <v/>
      </c>
      <c r="D439" s="63" t="str">
        <f t="shared" si="81"/>
        <v/>
      </c>
      <c r="E439" s="116">
        <f t="shared" si="82"/>
        <v>0</v>
      </c>
      <c r="F439" s="127" t="e">
        <f t="shared" si="83"/>
        <v>#N/A</v>
      </c>
      <c r="G439" s="63" t="e">
        <f t="shared" si="84"/>
        <v>#N/A</v>
      </c>
      <c r="H439" s="63" t="e">
        <f t="shared" si="86"/>
        <v>#N/A</v>
      </c>
      <c r="I439" s="116" t="e">
        <f t="shared" si="87"/>
        <v>#N/A</v>
      </c>
      <c r="K439" t="str">
        <f t="shared" si="88"/>
        <v/>
      </c>
      <c r="L439" t="e">
        <f t="shared" si="89"/>
        <v>#N/A</v>
      </c>
    </row>
    <row r="440" spans="2:12" outlineLevel="1" x14ac:dyDescent="0.25">
      <c r="B440" s="127" t="str">
        <f t="shared" si="85"/>
        <v/>
      </c>
      <c r="C440" s="128" t="str" cm="1">
        <f t="array" ref="C440">IF(F336&lt;&gt;"",INDEX(J336:Y336,$E$240)*100,"")</f>
        <v/>
      </c>
      <c r="D440" s="63" t="str">
        <f t="shared" si="81"/>
        <v/>
      </c>
      <c r="E440" s="116">
        <f t="shared" si="82"/>
        <v>0</v>
      </c>
      <c r="F440" s="127" t="e">
        <f t="shared" si="83"/>
        <v>#N/A</v>
      </c>
      <c r="G440" s="63" t="e">
        <f t="shared" si="84"/>
        <v>#N/A</v>
      </c>
      <c r="H440" s="63" t="e">
        <f t="shared" si="86"/>
        <v>#N/A</v>
      </c>
      <c r="I440" s="116" t="e">
        <f t="shared" si="87"/>
        <v>#N/A</v>
      </c>
      <c r="K440" t="str">
        <f t="shared" si="88"/>
        <v/>
      </c>
      <c r="L440" t="e">
        <f t="shared" si="89"/>
        <v>#N/A</v>
      </c>
    </row>
    <row r="441" spans="2:12" outlineLevel="1" x14ac:dyDescent="0.25">
      <c r="B441" s="127" t="str">
        <f t="shared" si="85"/>
        <v/>
      </c>
      <c r="C441" s="128" t="str" cm="1">
        <f t="array" ref="C441">IF(F337&lt;&gt;"",INDEX(J337:Y337,$E$240)*100,"")</f>
        <v/>
      </c>
      <c r="D441" s="63" t="str">
        <f t="shared" si="81"/>
        <v/>
      </c>
      <c r="E441" s="116">
        <f t="shared" si="82"/>
        <v>0</v>
      </c>
      <c r="F441" s="127" t="e">
        <f t="shared" si="83"/>
        <v>#N/A</v>
      </c>
      <c r="G441" s="63" t="e">
        <f t="shared" si="84"/>
        <v>#N/A</v>
      </c>
      <c r="H441" s="63" t="e">
        <f t="shared" si="86"/>
        <v>#N/A</v>
      </c>
      <c r="I441" s="116" t="e">
        <f t="shared" si="87"/>
        <v>#N/A</v>
      </c>
      <c r="K441" t="str">
        <f t="shared" si="88"/>
        <v/>
      </c>
      <c r="L441" t="e">
        <f t="shared" si="89"/>
        <v>#N/A</v>
      </c>
    </row>
    <row r="442" spans="2:12" outlineLevel="1" x14ac:dyDescent="0.25">
      <c r="B442" s="127" t="str">
        <f t="shared" si="85"/>
        <v/>
      </c>
      <c r="C442" s="128" t="str" cm="1">
        <f t="array" ref="C442">IF(F338&lt;&gt;"",INDEX(J338:Y338,$E$240)*100,"")</f>
        <v/>
      </c>
      <c r="D442" s="63" t="str">
        <f t="shared" si="81"/>
        <v/>
      </c>
      <c r="E442" s="116">
        <f t="shared" si="82"/>
        <v>0</v>
      </c>
      <c r="F442" s="127" t="e">
        <f t="shared" si="83"/>
        <v>#N/A</v>
      </c>
      <c r="G442" s="63" t="e">
        <f t="shared" si="84"/>
        <v>#N/A</v>
      </c>
      <c r="H442" s="63" t="e">
        <f t="shared" si="86"/>
        <v>#N/A</v>
      </c>
      <c r="I442" s="116" t="e">
        <f t="shared" si="87"/>
        <v>#N/A</v>
      </c>
      <c r="K442" t="str">
        <f t="shared" si="88"/>
        <v/>
      </c>
      <c r="L442" t="e">
        <f t="shared" si="89"/>
        <v>#N/A</v>
      </c>
    </row>
    <row r="443" spans="2:12" outlineLevel="1" x14ac:dyDescent="0.25">
      <c r="B443" s="127" t="str">
        <f t="shared" si="85"/>
        <v/>
      </c>
      <c r="C443" s="128" t="str" cm="1">
        <f t="array" ref="C443">IF(F339&lt;&gt;"",INDEX(J339:Y339,$E$240)*100,"")</f>
        <v/>
      </c>
      <c r="D443" s="63" t="str">
        <f t="shared" si="81"/>
        <v/>
      </c>
      <c r="E443" s="116">
        <f t="shared" si="82"/>
        <v>0</v>
      </c>
      <c r="F443" s="127" t="e">
        <f t="shared" si="83"/>
        <v>#N/A</v>
      </c>
      <c r="G443" s="63" t="e">
        <f t="shared" si="84"/>
        <v>#N/A</v>
      </c>
      <c r="H443" s="63" t="e">
        <f t="shared" si="86"/>
        <v>#N/A</v>
      </c>
      <c r="I443" s="116" t="e">
        <f t="shared" si="87"/>
        <v>#N/A</v>
      </c>
      <c r="K443" t="str">
        <f t="shared" si="88"/>
        <v/>
      </c>
      <c r="L443" t="e">
        <f t="shared" si="89"/>
        <v>#N/A</v>
      </c>
    </row>
    <row r="444" spans="2:12" outlineLevel="1" x14ac:dyDescent="0.25">
      <c r="B444" s="127" t="str">
        <f t="shared" si="85"/>
        <v/>
      </c>
      <c r="C444" s="128" t="str" cm="1">
        <f t="array" ref="C444">IF(F340&lt;&gt;"",INDEX(J340:Y340,$E$240)*100,"")</f>
        <v/>
      </c>
      <c r="D444" s="63" t="str">
        <f t="shared" si="81"/>
        <v/>
      </c>
      <c r="E444" s="116">
        <f t="shared" si="82"/>
        <v>0</v>
      </c>
      <c r="F444" s="127" t="e">
        <f t="shared" si="83"/>
        <v>#N/A</v>
      </c>
      <c r="G444" s="63" t="e">
        <f t="shared" si="84"/>
        <v>#N/A</v>
      </c>
      <c r="H444" s="63" t="e">
        <f t="shared" si="86"/>
        <v>#N/A</v>
      </c>
      <c r="I444" s="116" t="e">
        <f t="shared" si="87"/>
        <v>#N/A</v>
      </c>
      <c r="K444" t="str">
        <f t="shared" si="88"/>
        <v/>
      </c>
      <c r="L444" t="e">
        <f t="shared" si="89"/>
        <v>#N/A</v>
      </c>
    </row>
    <row r="445" spans="2:12" outlineLevel="1" x14ac:dyDescent="0.25">
      <c r="B445" s="127" t="str">
        <f t="shared" si="85"/>
        <v/>
      </c>
      <c r="C445" s="128" t="str" cm="1">
        <f t="array" ref="C445">IF(F341&lt;&gt;"",INDEX(J341:Y341,$E$240)*100,"")</f>
        <v/>
      </c>
      <c r="D445" s="63" t="str">
        <f t="shared" si="81"/>
        <v/>
      </c>
      <c r="E445" s="116">
        <f t="shared" si="82"/>
        <v>0</v>
      </c>
      <c r="F445" s="127" t="e">
        <f t="shared" si="83"/>
        <v>#N/A</v>
      </c>
      <c r="G445" s="63" t="e">
        <f t="shared" si="84"/>
        <v>#N/A</v>
      </c>
      <c r="H445" s="63" t="e">
        <f t="shared" si="86"/>
        <v>#N/A</v>
      </c>
      <c r="I445" s="116" t="e">
        <f t="shared" si="87"/>
        <v>#N/A</v>
      </c>
      <c r="K445" t="str">
        <f t="shared" si="88"/>
        <v/>
      </c>
      <c r="L445" t="e">
        <f t="shared" si="89"/>
        <v>#N/A</v>
      </c>
    </row>
    <row r="446" spans="2:12" outlineLevel="1" x14ac:dyDescent="0.25">
      <c r="B446" s="127" t="str">
        <f t="shared" si="85"/>
        <v/>
      </c>
      <c r="C446" s="128" t="str" cm="1">
        <f t="array" ref="C446">IF(F342&lt;&gt;"",INDEX(J342:Y342,$E$240)*100,"")</f>
        <v/>
      </c>
      <c r="D446" s="63" t="str">
        <f t="shared" ref="D446:D449" si="90">IF(F342&lt;&gt;"",F342,"")</f>
        <v/>
      </c>
      <c r="E446" s="116">
        <f t="shared" si="82"/>
        <v>0</v>
      </c>
      <c r="F446" s="127" t="e">
        <f t="shared" si="83"/>
        <v>#N/A</v>
      </c>
      <c r="G446" s="63" t="e">
        <f t="shared" si="84"/>
        <v>#N/A</v>
      </c>
      <c r="H446" s="63" t="e">
        <f t="shared" si="86"/>
        <v>#N/A</v>
      </c>
      <c r="I446" s="116" t="e">
        <f t="shared" si="87"/>
        <v>#N/A</v>
      </c>
      <c r="K446" t="str">
        <f t="shared" si="88"/>
        <v/>
      </c>
      <c r="L446" t="e">
        <f t="shared" si="89"/>
        <v>#N/A</v>
      </c>
    </row>
    <row r="447" spans="2:12" outlineLevel="1" x14ac:dyDescent="0.25">
      <c r="B447" s="127" t="str">
        <f t="shared" si="85"/>
        <v/>
      </c>
      <c r="C447" s="128" t="str" cm="1">
        <f t="array" ref="C447">IF(F343&lt;&gt;"",INDEX(J343:Y343,$E$240)*100,"")</f>
        <v/>
      </c>
      <c r="D447" s="63" t="str">
        <f t="shared" si="90"/>
        <v/>
      </c>
      <c r="E447" s="116">
        <f t="shared" si="82"/>
        <v>0</v>
      </c>
      <c r="F447" s="127" t="e">
        <f t="shared" si="83"/>
        <v>#N/A</v>
      </c>
      <c r="G447" s="63" t="e">
        <f t="shared" si="84"/>
        <v>#N/A</v>
      </c>
      <c r="H447" s="63" t="e">
        <f t="shared" si="86"/>
        <v>#N/A</v>
      </c>
      <c r="I447" s="116" t="e">
        <f t="shared" si="87"/>
        <v>#N/A</v>
      </c>
      <c r="K447" t="str">
        <f t="shared" si="88"/>
        <v/>
      </c>
      <c r="L447" t="e">
        <f t="shared" si="89"/>
        <v>#N/A</v>
      </c>
    </row>
    <row r="448" spans="2:12" outlineLevel="1" x14ac:dyDescent="0.25">
      <c r="B448" s="127" t="str">
        <f t="shared" si="85"/>
        <v/>
      </c>
      <c r="C448" s="128" t="str" cm="1">
        <f t="array" ref="C448">IF(F344&lt;&gt;"",INDEX(J344:Y344,$E$240)*100,"")</f>
        <v/>
      </c>
      <c r="D448" s="63" t="str">
        <f t="shared" si="90"/>
        <v/>
      </c>
      <c r="E448" s="116">
        <f t="shared" si="82"/>
        <v>0</v>
      </c>
      <c r="F448" s="127" t="e">
        <f t="shared" si="83"/>
        <v>#N/A</v>
      </c>
      <c r="G448" s="63" t="e">
        <f t="shared" si="84"/>
        <v>#N/A</v>
      </c>
      <c r="H448" s="63" t="e">
        <f t="shared" si="86"/>
        <v>#N/A</v>
      </c>
      <c r="I448" s="116" t="e">
        <f t="shared" si="87"/>
        <v>#N/A</v>
      </c>
      <c r="K448" t="str">
        <f t="shared" si="88"/>
        <v/>
      </c>
      <c r="L448" t="e">
        <f t="shared" si="89"/>
        <v>#N/A</v>
      </c>
    </row>
    <row r="449" spans="2:12" outlineLevel="1" x14ac:dyDescent="0.25">
      <c r="B449" s="127" t="str">
        <f t="shared" si="85"/>
        <v/>
      </c>
      <c r="C449" s="130" t="str" cm="1">
        <f t="array" ref="C449">IF(F345&lt;&gt;"",INDEX(J345:Y345,$E$240)*100,"")</f>
        <v/>
      </c>
      <c r="D449" s="131" t="str">
        <f t="shared" si="90"/>
        <v/>
      </c>
      <c r="E449" s="120">
        <f t="shared" si="82"/>
        <v>0</v>
      </c>
      <c r="F449" s="129" t="e">
        <f t="shared" si="83"/>
        <v>#N/A</v>
      </c>
      <c r="G449" s="131" t="e">
        <f t="shared" si="84"/>
        <v>#N/A</v>
      </c>
      <c r="H449" s="63" t="e">
        <f t="shared" si="86"/>
        <v>#N/A</v>
      </c>
      <c r="I449" s="120" t="e">
        <f t="shared" si="87"/>
        <v>#N/A</v>
      </c>
      <c r="K449" t="str">
        <f t="shared" si="88"/>
        <v/>
      </c>
      <c r="L449" t="e">
        <f t="shared" si="89"/>
        <v>#N/A</v>
      </c>
    </row>
    <row r="450" spans="2:12" outlineLevel="1" x14ac:dyDescent="0.25">
      <c r="B450" s="63"/>
      <c r="C450" s="63"/>
      <c r="E450" s="63"/>
      <c r="G450" s="132"/>
      <c r="H450" s="63"/>
      <c r="I450" s="63"/>
    </row>
    <row r="451" spans="2:12" outlineLevel="1" x14ac:dyDescent="0.25">
      <c r="B451" t="s">
        <v>32</v>
      </c>
    </row>
    <row r="452" spans="2:12" outlineLevel="1" x14ac:dyDescent="0.25">
      <c r="B452" s="92"/>
      <c r="C452" s="93">
        <v>5</v>
      </c>
      <c r="D452" s="93">
        <v>4</v>
      </c>
      <c r="E452" s="93">
        <v>3</v>
      </c>
      <c r="F452" s="93">
        <v>2</v>
      </c>
      <c r="G452" s="93">
        <v>1</v>
      </c>
      <c r="H452" s="79">
        <v>0</v>
      </c>
    </row>
    <row r="453" spans="2:12" outlineLevel="1" x14ac:dyDescent="0.25">
      <c r="B453" s="80">
        <v>1</v>
      </c>
      <c r="C453" s="73">
        <f>IF(AND($K350&lt;&gt;"",$E$241&gt;=C$452),$K350^C$452,0)</f>
        <v>-0.28871743680000006</v>
      </c>
      <c r="D453" s="73">
        <f>IF(AND($K350&lt;&gt;"",$E$241&gt;=D$452),$K350^D$452,0)</f>
        <v>0.37015056000000007</v>
      </c>
      <c r="E453" s="73">
        <f t="shared" ref="E453:G453" si="91">IF(AND($K350&lt;&gt;"",$E$241&gt;=E$452),$K350^E$452,0)</f>
        <v>-0.47455200000000003</v>
      </c>
      <c r="F453" s="73">
        <f t="shared" si="91"/>
        <v>0.60840000000000005</v>
      </c>
      <c r="G453" s="73">
        <f t="shared" si="91"/>
        <v>-0.78</v>
      </c>
      <c r="H453" s="83">
        <f t="shared" ref="H453:H484" si="92">IF(AND($B350&lt;&gt;"",B350&lt;&gt;0,$E$241&gt;=H$452),$B350^H$452,0)</f>
        <v>1</v>
      </c>
    </row>
    <row r="454" spans="2:12" outlineLevel="1" x14ac:dyDescent="0.25">
      <c r="B454" s="80">
        <v>2</v>
      </c>
      <c r="C454" s="73">
        <f t="shared" ref="C454:G454" si="93">IF(AND($K351&lt;&gt;"",$E$241&gt;=C$452),$K351^C$452,0)</f>
        <v>-0.25355253760000002</v>
      </c>
      <c r="D454" s="73">
        <f t="shared" si="93"/>
        <v>0.33362175999999999</v>
      </c>
      <c r="E454" s="73">
        <f t="shared" si="93"/>
        <v>-0.43897600000000003</v>
      </c>
      <c r="F454" s="73">
        <f t="shared" si="93"/>
        <v>0.5776</v>
      </c>
      <c r="G454" s="73">
        <f t="shared" si="93"/>
        <v>-0.76</v>
      </c>
      <c r="H454" s="83">
        <f t="shared" si="92"/>
        <v>1</v>
      </c>
    </row>
    <row r="455" spans="2:12" outlineLevel="1" x14ac:dyDescent="0.25">
      <c r="B455" s="80">
        <v>3</v>
      </c>
      <c r="C455" s="73">
        <f t="shared" ref="C455:G455" si="94">IF(AND($K352&lt;&gt;"",$E$241&gt;=C$452),$K352^C$452,0)</f>
        <v>-0.22190066239999998</v>
      </c>
      <c r="D455" s="73">
        <f t="shared" si="94"/>
        <v>0.29986575999999998</v>
      </c>
      <c r="E455" s="73">
        <f t="shared" si="94"/>
        <v>-0.40522399999999997</v>
      </c>
      <c r="F455" s="73">
        <f t="shared" si="94"/>
        <v>0.54759999999999998</v>
      </c>
      <c r="G455" s="73">
        <f t="shared" si="94"/>
        <v>-0.74</v>
      </c>
      <c r="H455" s="83">
        <f t="shared" si="92"/>
        <v>1</v>
      </c>
    </row>
    <row r="456" spans="2:12" outlineLevel="1" x14ac:dyDescent="0.25">
      <c r="B456" s="80">
        <v>4</v>
      </c>
      <c r="C456" s="73">
        <f t="shared" ref="C456:G456" si="95">IF(AND($K353&lt;&gt;"",$E$241&gt;=C$452),$K353^C$452,0)</f>
        <v>-0.19349176319999997</v>
      </c>
      <c r="D456" s="73">
        <f t="shared" si="95"/>
        <v>0.26873855999999996</v>
      </c>
      <c r="E456" s="73">
        <f t="shared" si="95"/>
        <v>-0.37324799999999997</v>
      </c>
      <c r="F456" s="73">
        <f t="shared" si="95"/>
        <v>0.51839999999999997</v>
      </c>
      <c r="G456" s="73">
        <f t="shared" si="95"/>
        <v>-0.72</v>
      </c>
      <c r="H456" s="83">
        <f t="shared" si="92"/>
        <v>1</v>
      </c>
    </row>
    <row r="457" spans="2:12" outlineLevel="1" x14ac:dyDescent="0.25">
      <c r="B457" s="80">
        <v>5</v>
      </c>
      <c r="C457" s="73">
        <f t="shared" ref="C457:G457" si="96">IF(AND($K354&lt;&gt;"",$E$241&gt;=C$452),$K354^C$452,0)</f>
        <v>-0.16806999999999994</v>
      </c>
      <c r="D457" s="73">
        <f t="shared" si="96"/>
        <v>0.24009999999999992</v>
      </c>
      <c r="E457" s="73">
        <f t="shared" si="96"/>
        <v>-0.34299999999999992</v>
      </c>
      <c r="F457" s="73">
        <f t="shared" si="96"/>
        <v>0.48999999999999994</v>
      </c>
      <c r="G457" s="73">
        <f t="shared" si="96"/>
        <v>-0.7</v>
      </c>
      <c r="H457" s="83">
        <f t="shared" si="92"/>
        <v>1</v>
      </c>
    </row>
    <row r="458" spans="2:12" outlineLevel="1" x14ac:dyDescent="0.25">
      <c r="B458" s="80">
        <v>6</v>
      </c>
      <c r="C458" s="73">
        <f t="shared" ref="C458:G458" si="97">IF(AND($K355&lt;&gt;"",$E$241&gt;=C$452),$K355^C$452,0)</f>
        <v>-0.14539335680000007</v>
      </c>
      <c r="D458" s="73">
        <f t="shared" si="97"/>
        <v>0.21381376000000007</v>
      </c>
      <c r="E458" s="73">
        <f t="shared" si="97"/>
        <v>-0.3144320000000001</v>
      </c>
      <c r="F458" s="73">
        <f t="shared" si="97"/>
        <v>0.46240000000000009</v>
      </c>
      <c r="G458" s="73">
        <f t="shared" si="97"/>
        <v>-0.68</v>
      </c>
      <c r="H458" s="83">
        <f t="shared" si="92"/>
        <v>1</v>
      </c>
    </row>
    <row r="459" spans="2:12" outlineLevel="1" x14ac:dyDescent="0.25">
      <c r="B459" s="80">
        <v>7</v>
      </c>
      <c r="C459" s="73">
        <f t="shared" ref="C459:G459" si="98">IF(AND($K356&lt;&gt;"",$E$241&gt;=C$452),$K356^C$452,0)</f>
        <v>-0.12523325760000004</v>
      </c>
      <c r="D459" s="73">
        <f t="shared" si="98"/>
        <v>0.18974736000000003</v>
      </c>
      <c r="E459" s="73">
        <f t="shared" si="98"/>
        <v>-0.28749600000000003</v>
      </c>
      <c r="F459" s="73">
        <f t="shared" si="98"/>
        <v>0.43560000000000004</v>
      </c>
      <c r="G459" s="73">
        <f t="shared" si="98"/>
        <v>-0.66</v>
      </c>
      <c r="H459" s="83">
        <f t="shared" si="92"/>
        <v>1</v>
      </c>
    </row>
    <row r="460" spans="2:12" outlineLevel="1" x14ac:dyDescent="0.25">
      <c r="B460" s="80">
        <v>8</v>
      </c>
      <c r="C460" s="73">
        <f t="shared" ref="C460:G460" si="99">IF(AND($K357&lt;&gt;"",$E$241&gt;=C$452),$K357^C$452,0)</f>
        <v>-0.1073741824</v>
      </c>
      <c r="D460" s="73">
        <f t="shared" si="99"/>
        <v>0.16777216</v>
      </c>
      <c r="E460" s="73">
        <f t="shared" si="99"/>
        <v>-0.26214400000000004</v>
      </c>
      <c r="F460" s="73">
        <f t="shared" si="99"/>
        <v>0.40960000000000002</v>
      </c>
      <c r="G460" s="73">
        <f t="shared" si="99"/>
        <v>-0.64</v>
      </c>
      <c r="H460" s="83">
        <f t="shared" si="92"/>
        <v>1</v>
      </c>
    </row>
    <row r="461" spans="2:12" outlineLevel="1" x14ac:dyDescent="0.25">
      <c r="B461" s="80">
        <v>9</v>
      </c>
      <c r="C461" s="73">
        <f t="shared" ref="C461:G461" si="100">IF(AND($K358&lt;&gt;"",$E$241&gt;=C$452),$K358^C$452,0)</f>
        <v>-9.1613283200000006E-2</v>
      </c>
      <c r="D461" s="73">
        <f t="shared" si="100"/>
        <v>0.14776336000000001</v>
      </c>
      <c r="E461" s="73">
        <f t="shared" si="100"/>
        <v>-0.23832800000000001</v>
      </c>
      <c r="F461" s="73">
        <f t="shared" si="100"/>
        <v>0.38440000000000002</v>
      </c>
      <c r="G461" s="73">
        <f t="shared" si="100"/>
        <v>-0.62</v>
      </c>
      <c r="H461" s="83">
        <f t="shared" si="92"/>
        <v>1</v>
      </c>
    </row>
    <row r="462" spans="2:12" outlineLevel="1" x14ac:dyDescent="0.25">
      <c r="B462" s="80">
        <v>10</v>
      </c>
      <c r="C462" s="73">
        <f t="shared" ref="C462:G462" si="101">IF(AND($K359&lt;&gt;"",$E$241&gt;=C$452),$K359^C$452,0)</f>
        <v>-7.7759999999999996E-2</v>
      </c>
      <c r="D462" s="73">
        <f t="shared" si="101"/>
        <v>0.12959999999999999</v>
      </c>
      <c r="E462" s="73">
        <f t="shared" si="101"/>
        <v>-0.216</v>
      </c>
      <c r="F462" s="73">
        <f t="shared" si="101"/>
        <v>0.36</v>
      </c>
      <c r="G462" s="73">
        <f t="shared" si="101"/>
        <v>-0.6</v>
      </c>
      <c r="H462" s="83">
        <f t="shared" si="92"/>
        <v>1</v>
      </c>
    </row>
    <row r="463" spans="2:12" outlineLevel="1" x14ac:dyDescent="0.25">
      <c r="B463" s="80">
        <v>11</v>
      </c>
      <c r="C463" s="73">
        <f t="shared" ref="C463:G463" si="102">IF(AND($K360&lt;&gt;"",$E$241&gt;=C$452),$K360^C$452,0)</f>
        <v>-6.5635676799999987E-2</v>
      </c>
      <c r="D463" s="73">
        <f t="shared" si="102"/>
        <v>0.11316495999999998</v>
      </c>
      <c r="E463" s="73">
        <f t="shared" si="102"/>
        <v>-0.19511199999999998</v>
      </c>
      <c r="F463" s="73">
        <f t="shared" si="102"/>
        <v>0.33639999999999998</v>
      </c>
      <c r="G463" s="73">
        <f t="shared" si="102"/>
        <v>-0.57999999999999996</v>
      </c>
      <c r="H463" s="83">
        <f t="shared" si="92"/>
        <v>1</v>
      </c>
    </row>
    <row r="464" spans="2:12" outlineLevel="1" x14ac:dyDescent="0.25">
      <c r="B464" s="80">
        <v>12</v>
      </c>
      <c r="C464" s="73">
        <f t="shared" ref="C464:G464" si="103">IF(AND($K361&lt;&gt;"",$E$241&gt;=C$452),$K361^C$452,0)</f>
        <v>-5.5073177600000016E-2</v>
      </c>
      <c r="D464" s="73">
        <f t="shared" si="103"/>
        <v>9.8344960000000023E-2</v>
      </c>
      <c r="E464" s="73">
        <f t="shared" si="103"/>
        <v>-0.17561600000000005</v>
      </c>
      <c r="F464" s="73">
        <f t="shared" si="103"/>
        <v>0.31360000000000005</v>
      </c>
      <c r="G464" s="73">
        <f t="shared" si="103"/>
        <v>-0.56000000000000005</v>
      </c>
      <c r="H464" s="83">
        <f t="shared" si="92"/>
        <v>1</v>
      </c>
    </row>
    <row r="465" spans="2:8" outlineLevel="1" x14ac:dyDescent="0.25">
      <c r="B465" s="80">
        <v>13</v>
      </c>
      <c r="C465" s="73">
        <f t="shared" ref="C465:G465" si="104">IF(AND($K362&lt;&gt;"",$E$241&gt;=C$452),$K362^C$452,0)</f>
        <v>-4.591650240000001E-2</v>
      </c>
      <c r="D465" s="73">
        <f t="shared" si="104"/>
        <v>8.5030560000000019E-2</v>
      </c>
      <c r="E465" s="73">
        <f t="shared" si="104"/>
        <v>-0.15746400000000002</v>
      </c>
      <c r="F465" s="73">
        <f t="shared" si="104"/>
        <v>0.29160000000000003</v>
      </c>
      <c r="G465" s="73">
        <f t="shared" si="104"/>
        <v>-0.54</v>
      </c>
      <c r="H465" s="83">
        <f t="shared" si="92"/>
        <v>1</v>
      </c>
    </row>
    <row r="466" spans="2:8" outlineLevel="1" x14ac:dyDescent="0.25">
      <c r="B466" s="80">
        <v>14</v>
      </c>
      <c r="C466" s="73">
        <f t="shared" ref="C466:G466" si="105">IF(AND($K363&lt;&gt;"",$E$241&gt;=C$452),$K363^C$452,0)</f>
        <v>-3.8020403200000011E-2</v>
      </c>
      <c r="D466" s="73">
        <f t="shared" si="105"/>
        <v>7.3116160000000013E-2</v>
      </c>
      <c r="E466" s="73">
        <f t="shared" si="105"/>
        <v>-0.14060800000000001</v>
      </c>
      <c r="F466" s="73">
        <f t="shared" si="105"/>
        <v>0.27040000000000003</v>
      </c>
      <c r="G466" s="73">
        <f t="shared" si="105"/>
        <v>-0.52</v>
      </c>
      <c r="H466" s="83">
        <f t="shared" si="92"/>
        <v>1</v>
      </c>
    </row>
    <row r="467" spans="2:8" outlineLevel="1" x14ac:dyDescent="0.25">
      <c r="B467" s="80">
        <v>15</v>
      </c>
      <c r="C467" s="73">
        <f t="shared" ref="C467:G467" si="106">IF(AND($K364&lt;&gt;"",$E$241&gt;=C$452),$K364^C$452,0)</f>
        <v>-3.125E-2</v>
      </c>
      <c r="D467" s="73">
        <f t="shared" si="106"/>
        <v>6.25E-2</v>
      </c>
      <c r="E467" s="73">
        <f t="shared" si="106"/>
        <v>-0.125</v>
      </c>
      <c r="F467" s="73">
        <f t="shared" si="106"/>
        <v>0.25</v>
      </c>
      <c r="G467" s="73">
        <f t="shared" si="106"/>
        <v>-0.5</v>
      </c>
      <c r="H467" s="83">
        <f t="shared" si="92"/>
        <v>1</v>
      </c>
    </row>
    <row r="468" spans="2:8" outlineLevel="1" x14ac:dyDescent="0.25">
      <c r="B468" s="80">
        <v>16</v>
      </c>
      <c r="C468" s="73">
        <f t="shared" ref="C468:G468" si="107">IF(AND($K365&lt;&gt;"",$E$241&gt;=C$452),$K365^C$452,0)</f>
        <v>-2.5480396799999999E-2</v>
      </c>
      <c r="D468" s="73">
        <f t="shared" si="107"/>
        <v>5.3084159999999998E-2</v>
      </c>
      <c r="E468" s="73">
        <f t="shared" si="107"/>
        <v>-0.110592</v>
      </c>
      <c r="F468" s="73">
        <f t="shared" si="107"/>
        <v>0.23039999999999999</v>
      </c>
      <c r="G468" s="73">
        <f t="shared" si="107"/>
        <v>-0.48</v>
      </c>
      <c r="H468" s="83">
        <f t="shared" si="92"/>
        <v>1</v>
      </c>
    </row>
    <row r="469" spans="2:8" outlineLevel="1" x14ac:dyDescent="0.25">
      <c r="B469" s="80">
        <v>17</v>
      </c>
      <c r="C469" s="73">
        <f t="shared" ref="C469:G469" si="108">IF(AND($K366&lt;&gt;"",$E$241&gt;=C$452),$K366^C$452,0)</f>
        <v>-2.0596297600000004E-2</v>
      </c>
      <c r="D469" s="73">
        <f t="shared" si="108"/>
        <v>4.4774560000000005E-2</v>
      </c>
      <c r="E469" s="73">
        <f t="shared" si="108"/>
        <v>-9.7336000000000006E-2</v>
      </c>
      <c r="F469" s="73">
        <f t="shared" si="108"/>
        <v>0.21160000000000001</v>
      </c>
      <c r="G469" s="73">
        <f t="shared" si="108"/>
        <v>-0.46</v>
      </c>
      <c r="H469" s="83">
        <f t="shared" si="92"/>
        <v>1</v>
      </c>
    </row>
    <row r="470" spans="2:8" outlineLevel="1" x14ac:dyDescent="0.25">
      <c r="B470" s="80">
        <v>18</v>
      </c>
      <c r="C470" s="73">
        <f t="shared" ref="C470:G470" si="109">IF(AND($K367&lt;&gt;"",$E$241&gt;=C$452),$K367^C$452,0)</f>
        <v>-1.6491622399999999E-2</v>
      </c>
      <c r="D470" s="73">
        <f t="shared" si="109"/>
        <v>3.7480960000000001E-2</v>
      </c>
      <c r="E470" s="73">
        <f t="shared" si="109"/>
        <v>-8.5183999999999996E-2</v>
      </c>
      <c r="F470" s="73">
        <f t="shared" si="109"/>
        <v>0.19359999999999999</v>
      </c>
      <c r="G470" s="73">
        <f t="shared" si="109"/>
        <v>-0.44</v>
      </c>
      <c r="H470" s="83">
        <f t="shared" si="92"/>
        <v>1</v>
      </c>
    </row>
    <row r="471" spans="2:8" outlineLevel="1" x14ac:dyDescent="0.25">
      <c r="B471" s="80">
        <v>19</v>
      </c>
      <c r="C471" s="73">
        <f t="shared" ref="C471:G471" si="110">IF(AND($K368&lt;&gt;"",$E$241&gt;=C$452),$K368^C$452,0)</f>
        <v>-1.3069123199999996E-2</v>
      </c>
      <c r="D471" s="73">
        <f t="shared" si="110"/>
        <v>3.1116959999999992E-2</v>
      </c>
      <c r="E471" s="73">
        <f t="shared" si="110"/>
        <v>-7.4087999999999987E-2</v>
      </c>
      <c r="F471" s="73">
        <f t="shared" si="110"/>
        <v>0.17639999999999997</v>
      </c>
      <c r="G471" s="73">
        <f t="shared" si="110"/>
        <v>-0.42</v>
      </c>
      <c r="H471" s="83">
        <f t="shared" si="92"/>
        <v>1</v>
      </c>
    </row>
    <row r="472" spans="2:8" outlineLevel="1" x14ac:dyDescent="0.25">
      <c r="B472" s="80">
        <v>20</v>
      </c>
      <c r="C472" s="73">
        <f t="shared" ref="C472:G472" si="111">IF(AND($K369&lt;&gt;"",$E$241&gt;=C$452),$K369^C$452,0)</f>
        <v>-1.0240000000000006E-2</v>
      </c>
      <c r="D472" s="73">
        <f t="shared" si="111"/>
        <v>2.5600000000000012E-2</v>
      </c>
      <c r="E472" s="73">
        <f t="shared" si="111"/>
        <v>-6.4000000000000015E-2</v>
      </c>
      <c r="F472" s="73">
        <f t="shared" si="111"/>
        <v>0.16000000000000003</v>
      </c>
      <c r="G472" s="73">
        <f t="shared" si="111"/>
        <v>-0.4</v>
      </c>
      <c r="H472" s="83">
        <f t="shared" si="92"/>
        <v>1</v>
      </c>
    </row>
    <row r="473" spans="2:8" outlineLevel="1" x14ac:dyDescent="0.25">
      <c r="B473" s="80">
        <v>21</v>
      </c>
      <c r="C473" s="73">
        <f t="shared" ref="C473:G473" si="112">IF(AND($K370&lt;&gt;"",$E$241&gt;=C$452),$K370^C$452,0)</f>
        <v>-7.9235168000000005E-3</v>
      </c>
      <c r="D473" s="73">
        <f t="shared" si="112"/>
        <v>2.0851359999999999E-2</v>
      </c>
      <c r="E473" s="73">
        <f t="shared" si="112"/>
        <v>-5.4872000000000004E-2</v>
      </c>
      <c r="F473" s="73">
        <f t="shared" si="112"/>
        <v>0.1444</v>
      </c>
      <c r="G473" s="73">
        <f t="shared" si="112"/>
        <v>-0.38</v>
      </c>
      <c r="H473" s="83">
        <f t="shared" si="92"/>
        <v>1</v>
      </c>
    </row>
    <row r="474" spans="2:8" outlineLevel="1" x14ac:dyDescent="0.25">
      <c r="B474" s="80">
        <v>22</v>
      </c>
      <c r="C474" s="73">
        <f t="shared" ref="C474:G474" si="113">IF(AND($K371&lt;&gt;"",$E$241&gt;=C$452),$K371^C$452,0)</f>
        <v>-6.0466175999999991E-3</v>
      </c>
      <c r="D474" s="73">
        <f t="shared" si="113"/>
        <v>1.6796159999999997E-2</v>
      </c>
      <c r="E474" s="73">
        <f t="shared" si="113"/>
        <v>-4.6655999999999996E-2</v>
      </c>
      <c r="F474" s="73">
        <f t="shared" si="113"/>
        <v>0.12959999999999999</v>
      </c>
      <c r="G474" s="73">
        <f t="shared" si="113"/>
        <v>-0.36</v>
      </c>
      <c r="H474" s="83">
        <f t="shared" si="92"/>
        <v>1</v>
      </c>
    </row>
    <row r="475" spans="2:8" outlineLevel="1" x14ac:dyDescent="0.25">
      <c r="B475" s="80">
        <v>23</v>
      </c>
      <c r="C475" s="73">
        <f t="shared" ref="C475:G475" si="114">IF(AND($K372&lt;&gt;"",$E$241&gt;=C$452),$K372^C$452,0)</f>
        <v>-4.5435424000000021E-3</v>
      </c>
      <c r="D475" s="73">
        <f t="shared" si="114"/>
        <v>1.3363360000000005E-2</v>
      </c>
      <c r="E475" s="73">
        <f t="shared" si="114"/>
        <v>-3.9304000000000013E-2</v>
      </c>
      <c r="F475" s="73">
        <f t="shared" si="114"/>
        <v>0.11560000000000002</v>
      </c>
      <c r="G475" s="73">
        <f t="shared" si="114"/>
        <v>-0.34</v>
      </c>
      <c r="H475" s="83">
        <f t="shared" si="92"/>
        <v>1</v>
      </c>
    </row>
    <row r="476" spans="2:8" outlineLevel="1" x14ac:dyDescent="0.25">
      <c r="B476" s="80">
        <v>24</v>
      </c>
      <c r="C476" s="73">
        <f t="shared" ref="C476:G476" si="115">IF(AND($K373&lt;&gt;"",$E$241&gt;=C$452),$K373^C$452,0)</f>
        <v>-3.3554432000000001E-3</v>
      </c>
      <c r="D476" s="73">
        <f t="shared" si="115"/>
        <v>1.048576E-2</v>
      </c>
      <c r="E476" s="73">
        <f t="shared" si="115"/>
        <v>-3.2768000000000005E-2</v>
      </c>
      <c r="F476" s="73">
        <f t="shared" si="115"/>
        <v>0.1024</v>
      </c>
      <c r="G476" s="73">
        <f t="shared" si="115"/>
        <v>-0.32</v>
      </c>
      <c r="H476" s="83">
        <f t="shared" si="92"/>
        <v>1</v>
      </c>
    </row>
    <row r="477" spans="2:8" outlineLevel="1" x14ac:dyDescent="0.25">
      <c r="B477" s="80">
        <v>25</v>
      </c>
      <c r="C477" s="73">
        <f t="shared" ref="C477:G477" si="116">IF(AND($K374&lt;&gt;"",$E$241&gt;=C$452),$K374^C$452,0)</f>
        <v>-2.4299999999999999E-3</v>
      </c>
      <c r="D477" s="73">
        <f t="shared" si="116"/>
        <v>8.0999999999999996E-3</v>
      </c>
      <c r="E477" s="73">
        <f t="shared" si="116"/>
        <v>-2.7E-2</v>
      </c>
      <c r="F477" s="73">
        <f t="shared" si="116"/>
        <v>0.09</v>
      </c>
      <c r="G477" s="73">
        <f t="shared" si="116"/>
        <v>-0.3</v>
      </c>
      <c r="H477" s="83">
        <f t="shared" si="92"/>
        <v>1</v>
      </c>
    </row>
    <row r="478" spans="2:8" outlineLevel="1" x14ac:dyDescent="0.25">
      <c r="B478" s="80">
        <v>26</v>
      </c>
      <c r="C478" s="73">
        <f t="shared" ref="C478:G478" si="117">IF(AND($K375&lt;&gt;"",$E$241&gt;=C$452),$K375^C$452,0)</f>
        <v>-1.7210368000000005E-3</v>
      </c>
      <c r="D478" s="73">
        <f t="shared" si="117"/>
        <v>6.1465600000000014E-3</v>
      </c>
      <c r="E478" s="73">
        <f t="shared" si="117"/>
        <v>-2.1952000000000006E-2</v>
      </c>
      <c r="F478" s="73">
        <f t="shared" si="117"/>
        <v>7.8400000000000011E-2</v>
      </c>
      <c r="G478" s="73">
        <f t="shared" si="117"/>
        <v>-0.28000000000000003</v>
      </c>
      <c r="H478" s="83">
        <f t="shared" si="92"/>
        <v>1</v>
      </c>
    </row>
    <row r="479" spans="2:8" outlineLevel="1" x14ac:dyDescent="0.25">
      <c r="B479" s="80">
        <v>27</v>
      </c>
      <c r="C479" s="73">
        <f t="shared" ref="C479:G479" si="118">IF(AND($K376&lt;&gt;"",$E$241&gt;=C$452),$K376^C$452,0)</f>
        <v>-1.1881376000000003E-3</v>
      </c>
      <c r="D479" s="73">
        <f t="shared" si="118"/>
        <v>4.5697600000000008E-3</v>
      </c>
      <c r="E479" s="73">
        <f t="shared" si="118"/>
        <v>-1.7576000000000001E-2</v>
      </c>
      <c r="F479" s="73">
        <f t="shared" si="118"/>
        <v>6.7600000000000007E-2</v>
      </c>
      <c r="G479" s="73">
        <f t="shared" si="118"/>
        <v>-0.26</v>
      </c>
      <c r="H479" s="83">
        <f t="shared" si="92"/>
        <v>1</v>
      </c>
    </row>
    <row r="480" spans="2:8" outlineLevel="1" x14ac:dyDescent="0.25">
      <c r="B480" s="80">
        <v>28</v>
      </c>
      <c r="C480" s="73">
        <f t="shared" ref="C480:G480" si="119">IF(AND($K377&lt;&gt;"",$E$241&gt;=C$452),$K377^C$452,0)</f>
        <v>-7.9626239999999997E-4</v>
      </c>
      <c r="D480" s="73">
        <f t="shared" si="119"/>
        <v>3.3177599999999999E-3</v>
      </c>
      <c r="E480" s="73">
        <f t="shared" si="119"/>
        <v>-1.3823999999999999E-2</v>
      </c>
      <c r="F480" s="73">
        <f t="shared" si="119"/>
        <v>5.7599999999999998E-2</v>
      </c>
      <c r="G480" s="73">
        <f t="shared" si="119"/>
        <v>-0.24</v>
      </c>
      <c r="H480" s="83">
        <f t="shared" si="92"/>
        <v>1</v>
      </c>
    </row>
    <row r="481" spans="2:8" outlineLevel="1" x14ac:dyDescent="0.25">
      <c r="B481" s="80">
        <v>29</v>
      </c>
      <c r="C481" s="73">
        <f t="shared" ref="C481:G481" si="120">IF(AND($K378&lt;&gt;"",$E$241&gt;=C$452),$K378^C$452,0)</f>
        <v>-5.1536319999999998E-4</v>
      </c>
      <c r="D481" s="73">
        <f t="shared" si="120"/>
        <v>2.34256E-3</v>
      </c>
      <c r="E481" s="73">
        <f t="shared" si="120"/>
        <v>-1.0647999999999999E-2</v>
      </c>
      <c r="F481" s="73">
        <f t="shared" si="120"/>
        <v>4.8399999999999999E-2</v>
      </c>
      <c r="G481" s="73">
        <f t="shared" si="120"/>
        <v>-0.22</v>
      </c>
      <c r="H481" s="83">
        <f t="shared" si="92"/>
        <v>1</v>
      </c>
    </row>
    <row r="482" spans="2:8" outlineLevel="1" x14ac:dyDescent="0.25">
      <c r="B482" s="80">
        <v>30</v>
      </c>
      <c r="C482" s="73">
        <f t="shared" ref="C482:G482" si="121">IF(AND($K379&lt;&gt;"",$E$241&gt;=C$452),$K379^C$452,0)</f>
        <v>-3.2000000000000019E-4</v>
      </c>
      <c r="D482" s="73">
        <f t="shared" si="121"/>
        <v>1.6000000000000007E-3</v>
      </c>
      <c r="E482" s="73">
        <f t="shared" si="121"/>
        <v>-8.0000000000000019E-3</v>
      </c>
      <c r="F482" s="73">
        <f t="shared" si="121"/>
        <v>4.0000000000000008E-2</v>
      </c>
      <c r="G482" s="73">
        <f t="shared" si="121"/>
        <v>-0.2</v>
      </c>
      <c r="H482" s="83">
        <f t="shared" si="92"/>
        <v>1</v>
      </c>
    </row>
    <row r="483" spans="2:8" outlineLevel="1" x14ac:dyDescent="0.25">
      <c r="B483" s="80">
        <v>31</v>
      </c>
      <c r="C483" s="73">
        <f t="shared" ref="C483:G483" si="122">IF(AND($K380&lt;&gt;"",$E$241&gt;=C$452),$K380^C$452,0)</f>
        <v>-1.8895679999999997E-4</v>
      </c>
      <c r="D483" s="73">
        <f t="shared" si="122"/>
        <v>1.0497599999999998E-3</v>
      </c>
      <c r="E483" s="73">
        <f t="shared" si="122"/>
        <v>-5.8319999999999995E-3</v>
      </c>
      <c r="F483" s="73">
        <f t="shared" si="122"/>
        <v>3.2399999999999998E-2</v>
      </c>
      <c r="G483" s="73">
        <f t="shared" si="122"/>
        <v>-0.18</v>
      </c>
      <c r="H483" s="83">
        <f t="shared" si="92"/>
        <v>1</v>
      </c>
    </row>
    <row r="484" spans="2:8" outlineLevel="1" x14ac:dyDescent="0.25">
      <c r="B484" s="80">
        <v>32</v>
      </c>
      <c r="C484" s="73">
        <f t="shared" ref="C484:G484" si="123">IF(AND($K381&lt;&gt;"",$E$241&gt;=C$452),$K381^C$452,0)</f>
        <v>-1.048576E-4</v>
      </c>
      <c r="D484" s="73">
        <f t="shared" si="123"/>
        <v>6.5536000000000001E-4</v>
      </c>
      <c r="E484" s="73">
        <f t="shared" si="123"/>
        <v>-4.0960000000000007E-3</v>
      </c>
      <c r="F484" s="73">
        <f t="shared" si="123"/>
        <v>2.5600000000000001E-2</v>
      </c>
      <c r="G484" s="73">
        <f t="shared" si="123"/>
        <v>-0.16</v>
      </c>
      <c r="H484" s="83">
        <f t="shared" si="92"/>
        <v>1</v>
      </c>
    </row>
    <row r="485" spans="2:8" outlineLevel="1" x14ac:dyDescent="0.25">
      <c r="B485" s="80">
        <v>33</v>
      </c>
      <c r="C485" s="73">
        <f t="shared" ref="C485:G485" si="124">IF(AND($K382&lt;&gt;"",$E$241&gt;=C$452),$K382^C$452,0)</f>
        <v>-5.3782400000000016E-5</v>
      </c>
      <c r="D485" s="73">
        <f t="shared" si="124"/>
        <v>3.8416000000000009E-4</v>
      </c>
      <c r="E485" s="73">
        <f t="shared" si="124"/>
        <v>-2.7440000000000008E-3</v>
      </c>
      <c r="F485" s="73">
        <f t="shared" si="124"/>
        <v>1.9600000000000003E-2</v>
      </c>
      <c r="G485" s="73">
        <f t="shared" si="124"/>
        <v>-0.14000000000000001</v>
      </c>
      <c r="H485" s="83">
        <f t="shared" ref="H485:H516" si="125">IF(AND($B382&lt;&gt;"",B382&lt;&gt;0,$E$241&gt;=H$452),$B382^H$452,0)</f>
        <v>1</v>
      </c>
    </row>
    <row r="486" spans="2:8" outlineLevel="1" x14ac:dyDescent="0.25">
      <c r="B486" s="80">
        <v>34</v>
      </c>
      <c r="C486" s="73">
        <f t="shared" ref="C486:G486" si="126">IF(AND($K383&lt;&gt;"",$E$241&gt;=C$452),$K383^C$452,0)</f>
        <v>-2.4883199999999999E-5</v>
      </c>
      <c r="D486" s="73">
        <f t="shared" si="126"/>
        <v>2.0735999999999999E-4</v>
      </c>
      <c r="E486" s="73">
        <f t="shared" si="126"/>
        <v>-1.7279999999999999E-3</v>
      </c>
      <c r="F486" s="73">
        <f t="shared" si="126"/>
        <v>1.44E-2</v>
      </c>
      <c r="G486" s="73">
        <f t="shared" si="126"/>
        <v>-0.12</v>
      </c>
      <c r="H486" s="83">
        <f t="shared" si="125"/>
        <v>1</v>
      </c>
    </row>
    <row r="487" spans="2:8" outlineLevel="1" x14ac:dyDescent="0.25">
      <c r="B487" s="80">
        <v>35</v>
      </c>
      <c r="C487" s="73">
        <f t="shared" ref="C487:G487" si="127">IF(AND($K384&lt;&gt;"",$E$241&gt;=C$452),$K384^C$452,0)</f>
        <v>-1.0000000000000006E-5</v>
      </c>
      <c r="D487" s="73">
        <f t="shared" si="127"/>
        <v>1.0000000000000005E-4</v>
      </c>
      <c r="E487" s="73">
        <f t="shared" si="127"/>
        <v>-1.0000000000000002E-3</v>
      </c>
      <c r="F487" s="73">
        <f t="shared" si="127"/>
        <v>1.0000000000000002E-2</v>
      </c>
      <c r="G487" s="73">
        <f t="shared" si="127"/>
        <v>-0.1</v>
      </c>
      <c r="H487" s="83">
        <f t="shared" si="125"/>
        <v>1</v>
      </c>
    </row>
    <row r="488" spans="2:8" outlineLevel="1" x14ac:dyDescent="0.25">
      <c r="B488" s="80">
        <v>36</v>
      </c>
      <c r="C488" s="73">
        <f t="shared" ref="C488:G488" si="128">IF(AND($K385&lt;&gt;"",$E$241&gt;=C$452),$K385^C$452,0)</f>
        <v>-3.2768000000000001E-6</v>
      </c>
      <c r="D488" s="73">
        <f t="shared" si="128"/>
        <v>4.0960000000000001E-5</v>
      </c>
      <c r="E488" s="73">
        <f t="shared" si="128"/>
        <v>-5.1200000000000009E-4</v>
      </c>
      <c r="F488" s="73">
        <f t="shared" si="128"/>
        <v>6.4000000000000003E-3</v>
      </c>
      <c r="G488" s="73">
        <f t="shared" si="128"/>
        <v>-0.08</v>
      </c>
      <c r="H488" s="83">
        <f t="shared" si="125"/>
        <v>1</v>
      </c>
    </row>
    <row r="489" spans="2:8" outlineLevel="1" x14ac:dyDescent="0.25">
      <c r="B489" s="80">
        <v>37</v>
      </c>
      <c r="C489" s="73">
        <f t="shared" ref="C489:G489" si="129">IF(AND($K386&lt;&gt;"",$E$241&gt;=C$452),$K386^C$452,0)</f>
        <v>-7.7759999999999997E-7</v>
      </c>
      <c r="D489" s="73">
        <f t="shared" si="129"/>
        <v>1.296E-5</v>
      </c>
      <c r="E489" s="73">
        <f t="shared" si="129"/>
        <v>-2.1599999999999999E-4</v>
      </c>
      <c r="F489" s="73">
        <f t="shared" si="129"/>
        <v>3.5999999999999999E-3</v>
      </c>
      <c r="G489" s="73">
        <f t="shared" si="129"/>
        <v>-0.06</v>
      </c>
      <c r="H489" s="83">
        <f t="shared" si="125"/>
        <v>1</v>
      </c>
    </row>
    <row r="490" spans="2:8" outlineLevel="1" x14ac:dyDescent="0.25">
      <c r="B490" s="80">
        <v>38</v>
      </c>
      <c r="C490" s="73">
        <f t="shared" ref="C490:G490" si="130">IF(AND($K387&lt;&gt;"",$E$241&gt;=C$452),$K387^C$452,0)</f>
        <v>-1.024E-7</v>
      </c>
      <c r="D490" s="73">
        <f t="shared" si="130"/>
        <v>2.5600000000000001E-6</v>
      </c>
      <c r="E490" s="73">
        <f t="shared" si="130"/>
        <v>-6.4000000000000011E-5</v>
      </c>
      <c r="F490" s="73">
        <f t="shared" si="130"/>
        <v>1.6000000000000001E-3</v>
      </c>
      <c r="G490" s="73">
        <f t="shared" si="130"/>
        <v>-0.04</v>
      </c>
      <c r="H490" s="83">
        <f t="shared" si="125"/>
        <v>1</v>
      </c>
    </row>
    <row r="491" spans="2:8" outlineLevel="1" x14ac:dyDescent="0.25">
      <c r="B491" s="80">
        <v>39</v>
      </c>
      <c r="C491" s="73">
        <f t="shared" ref="C491:G491" si="131">IF(AND($K388&lt;&gt;"",$E$241&gt;=C$452),$K388^C$452,0)</f>
        <v>-3.2000000000000001E-9</v>
      </c>
      <c r="D491" s="73">
        <f t="shared" si="131"/>
        <v>1.6E-7</v>
      </c>
      <c r="E491" s="73">
        <f t="shared" si="131"/>
        <v>-8.0000000000000013E-6</v>
      </c>
      <c r="F491" s="73">
        <f t="shared" si="131"/>
        <v>4.0000000000000002E-4</v>
      </c>
      <c r="G491" s="73">
        <f t="shared" si="131"/>
        <v>-0.02</v>
      </c>
      <c r="H491" s="83">
        <f t="shared" si="125"/>
        <v>1</v>
      </c>
    </row>
    <row r="492" spans="2:8" outlineLevel="1" x14ac:dyDescent="0.25">
      <c r="B492" s="80">
        <v>40</v>
      </c>
      <c r="C492" s="73">
        <f t="shared" ref="C492:G492" si="132">IF(AND($K389&lt;&gt;"",$E$241&gt;=C$452),$K389^C$452,0)</f>
        <v>0</v>
      </c>
      <c r="D492" s="73">
        <f t="shared" si="132"/>
        <v>0</v>
      </c>
      <c r="E492" s="73">
        <f t="shared" si="132"/>
        <v>0</v>
      </c>
      <c r="F492" s="73">
        <f t="shared" si="132"/>
        <v>0</v>
      </c>
      <c r="G492" s="73">
        <f t="shared" si="132"/>
        <v>0</v>
      </c>
      <c r="H492" s="83">
        <f t="shared" si="125"/>
        <v>1</v>
      </c>
    </row>
    <row r="493" spans="2:8" outlineLevel="1" x14ac:dyDescent="0.25">
      <c r="B493" s="80">
        <v>41</v>
      </c>
      <c r="C493" s="73">
        <f t="shared" ref="C493:G493" si="133">IF(AND($K390&lt;&gt;"",$E$241&gt;=C$452),$K390^C$452,0)</f>
        <v>3.2000000000000001E-9</v>
      </c>
      <c r="D493" s="73">
        <f t="shared" si="133"/>
        <v>1.6E-7</v>
      </c>
      <c r="E493" s="73">
        <f t="shared" si="133"/>
        <v>8.0000000000000013E-6</v>
      </c>
      <c r="F493" s="73">
        <f t="shared" si="133"/>
        <v>4.0000000000000002E-4</v>
      </c>
      <c r="G493" s="73">
        <f t="shared" si="133"/>
        <v>0.02</v>
      </c>
      <c r="H493" s="83">
        <f t="shared" si="125"/>
        <v>1</v>
      </c>
    </row>
    <row r="494" spans="2:8" outlineLevel="1" x14ac:dyDescent="0.25">
      <c r="B494" s="80">
        <v>42</v>
      </c>
      <c r="C494" s="73">
        <f t="shared" ref="C494:G494" si="134">IF(AND($K391&lt;&gt;"",$E$241&gt;=C$452),$K391^C$452,0)</f>
        <v>1.024E-7</v>
      </c>
      <c r="D494" s="73">
        <f t="shared" si="134"/>
        <v>2.5600000000000001E-6</v>
      </c>
      <c r="E494" s="73">
        <f t="shared" si="134"/>
        <v>6.4000000000000011E-5</v>
      </c>
      <c r="F494" s="73">
        <f t="shared" si="134"/>
        <v>1.6000000000000001E-3</v>
      </c>
      <c r="G494" s="73">
        <f t="shared" si="134"/>
        <v>0.04</v>
      </c>
      <c r="H494" s="83">
        <f t="shared" si="125"/>
        <v>1</v>
      </c>
    </row>
    <row r="495" spans="2:8" outlineLevel="1" x14ac:dyDescent="0.25">
      <c r="B495" s="80">
        <v>43</v>
      </c>
      <c r="C495" s="73">
        <f t="shared" ref="C495:G495" si="135">IF(AND($K392&lt;&gt;"",$E$241&gt;=C$452),$K392^C$452,0)</f>
        <v>7.7759999999999997E-7</v>
      </c>
      <c r="D495" s="73">
        <f t="shared" si="135"/>
        <v>1.296E-5</v>
      </c>
      <c r="E495" s="73">
        <f t="shared" si="135"/>
        <v>2.1599999999999999E-4</v>
      </c>
      <c r="F495" s="73">
        <f t="shared" si="135"/>
        <v>3.5999999999999999E-3</v>
      </c>
      <c r="G495" s="73">
        <f t="shared" si="135"/>
        <v>0.06</v>
      </c>
      <c r="H495" s="83">
        <f t="shared" si="125"/>
        <v>1</v>
      </c>
    </row>
    <row r="496" spans="2:8" outlineLevel="1" x14ac:dyDescent="0.25">
      <c r="B496" s="80">
        <v>44</v>
      </c>
      <c r="C496" s="73">
        <f t="shared" ref="C496:G496" si="136">IF(AND($K393&lt;&gt;"",$E$241&gt;=C$452),$K393^C$452,0)</f>
        <v>3.2768000000000001E-6</v>
      </c>
      <c r="D496" s="73">
        <f t="shared" si="136"/>
        <v>4.0960000000000001E-5</v>
      </c>
      <c r="E496" s="73">
        <f t="shared" si="136"/>
        <v>5.1200000000000009E-4</v>
      </c>
      <c r="F496" s="73">
        <f t="shared" si="136"/>
        <v>6.4000000000000003E-3</v>
      </c>
      <c r="G496" s="73">
        <f t="shared" si="136"/>
        <v>0.08</v>
      </c>
      <c r="H496" s="83">
        <f t="shared" si="125"/>
        <v>1</v>
      </c>
    </row>
    <row r="497" spans="2:8" outlineLevel="1" x14ac:dyDescent="0.25">
      <c r="B497" s="80">
        <v>45</v>
      </c>
      <c r="C497" s="73">
        <f>IF(AND($K394&lt;&gt;"",$E$241&gt;=C$452),$K394^C$452,0)</f>
        <v>1.0000000000000006E-5</v>
      </c>
      <c r="D497" s="73">
        <f t="shared" ref="D497:G497" si="137">IF(AND($K394&lt;&gt;"",$E$241&gt;=D$452),$K394^D$452,0)</f>
        <v>1.0000000000000005E-4</v>
      </c>
      <c r="E497" s="73">
        <f t="shared" si="137"/>
        <v>1.0000000000000002E-3</v>
      </c>
      <c r="F497" s="73">
        <f t="shared" si="137"/>
        <v>1.0000000000000002E-2</v>
      </c>
      <c r="G497" s="73">
        <f t="shared" si="137"/>
        <v>0.1</v>
      </c>
      <c r="H497" s="83">
        <f t="shared" si="125"/>
        <v>1</v>
      </c>
    </row>
    <row r="498" spans="2:8" outlineLevel="1" x14ac:dyDescent="0.25">
      <c r="B498" s="80">
        <v>46</v>
      </c>
      <c r="C498" s="73">
        <f t="shared" ref="C498:G498" si="138">IF(AND($K395&lt;&gt;"",$E$241&gt;=C$452),$K395^C$452,0)</f>
        <v>2.4883199999999999E-5</v>
      </c>
      <c r="D498" s="73">
        <f t="shared" si="138"/>
        <v>2.0735999999999999E-4</v>
      </c>
      <c r="E498" s="73">
        <f t="shared" si="138"/>
        <v>1.7279999999999999E-3</v>
      </c>
      <c r="F498" s="73">
        <f t="shared" si="138"/>
        <v>1.44E-2</v>
      </c>
      <c r="G498" s="73">
        <f t="shared" si="138"/>
        <v>0.12</v>
      </c>
      <c r="H498" s="83">
        <f t="shared" si="125"/>
        <v>1</v>
      </c>
    </row>
    <row r="499" spans="2:8" outlineLevel="1" x14ac:dyDescent="0.25">
      <c r="B499" s="80">
        <v>47</v>
      </c>
      <c r="C499" s="73">
        <f t="shared" ref="C499:G499" si="139">IF(AND($K396&lt;&gt;"",$E$241&gt;=C$452),$K396^C$452,0)</f>
        <v>5.3782400000000016E-5</v>
      </c>
      <c r="D499" s="73">
        <f t="shared" si="139"/>
        <v>3.8416000000000009E-4</v>
      </c>
      <c r="E499" s="73">
        <f t="shared" si="139"/>
        <v>2.7440000000000008E-3</v>
      </c>
      <c r="F499" s="73">
        <f t="shared" si="139"/>
        <v>1.9600000000000003E-2</v>
      </c>
      <c r="G499" s="73">
        <f t="shared" si="139"/>
        <v>0.14000000000000001</v>
      </c>
      <c r="H499" s="83">
        <f t="shared" si="125"/>
        <v>1</v>
      </c>
    </row>
    <row r="500" spans="2:8" outlineLevel="1" x14ac:dyDescent="0.25">
      <c r="B500" s="80">
        <v>48</v>
      </c>
      <c r="C500" s="73">
        <f t="shared" ref="C500:G500" si="140">IF(AND($K397&lt;&gt;"",$E$241&gt;=C$452),$K397^C$452,0)</f>
        <v>1.048576E-4</v>
      </c>
      <c r="D500" s="73">
        <f t="shared" si="140"/>
        <v>6.5536000000000001E-4</v>
      </c>
      <c r="E500" s="73">
        <f t="shared" si="140"/>
        <v>4.0960000000000007E-3</v>
      </c>
      <c r="F500" s="73">
        <f t="shared" si="140"/>
        <v>2.5600000000000001E-2</v>
      </c>
      <c r="G500" s="73">
        <f t="shared" si="140"/>
        <v>0.16</v>
      </c>
      <c r="H500" s="83">
        <f t="shared" si="125"/>
        <v>1</v>
      </c>
    </row>
    <row r="501" spans="2:8" outlineLevel="1" x14ac:dyDescent="0.25">
      <c r="B501" s="80">
        <v>49</v>
      </c>
      <c r="C501" s="73">
        <f t="shared" ref="C501:G501" si="141">IF(AND($K398&lt;&gt;"",$E$241&gt;=C$452),$K398^C$452,0)</f>
        <v>1.8895679999999997E-4</v>
      </c>
      <c r="D501" s="73">
        <f t="shared" si="141"/>
        <v>1.0497599999999998E-3</v>
      </c>
      <c r="E501" s="73">
        <f t="shared" si="141"/>
        <v>5.8319999999999995E-3</v>
      </c>
      <c r="F501" s="73">
        <f t="shared" si="141"/>
        <v>3.2399999999999998E-2</v>
      </c>
      <c r="G501" s="73">
        <f t="shared" si="141"/>
        <v>0.18</v>
      </c>
      <c r="H501" s="83">
        <f t="shared" si="125"/>
        <v>1</v>
      </c>
    </row>
    <row r="502" spans="2:8" outlineLevel="1" x14ac:dyDescent="0.25">
      <c r="B502" s="80">
        <v>50</v>
      </c>
      <c r="C502" s="73">
        <f t="shared" ref="C502:G502" si="142">IF(AND($K399&lt;&gt;"",$E$241&gt;=C$452),$K399^C$452,0)</f>
        <v>3.2000000000000019E-4</v>
      </c>
      <c r="D502" s="73">
        <f t="shared" si="142"/>
        <v>1.6000000000000007E-3</v>
      </c>
      <c r="E502" s="73">
        <f t="shared" si="142"/>
        <v>8.0000000000000019E-3</v>
      </c>
      <c r="F502" s="73">
        <f t="shared" si="142"/>
        <v>4.0000000000000008E-2</v>
      </c>
      <c r="G502" s="73">
        <f t="shared" si="142"/>
        <v>0.2</v>
      </c>
      <c r="H502" s="83">
        <f t="shared" si="125"/>
        <v>1</v>
      </c>
    </row>
    <row r="503" spans="2:8" outlineLevel="1" x14ac:dyDescent="0.25">
      <c r="B503" s="80">
        <v>51</v>
      </c>
      <c r="C503" s="73">
        <f t="shared" ref="C503:G503" si="143">IF(AND($K400&lt;&gt;"",$E$241&gt;=C$452),$K400^C$452,0)</f>
        <v>5.1536319999999998E-4</v>
      </c>
      <c r="D503" s="73">
        <f t="shared" si="143"/>
        <v>2.34256E-3</v>
      </c>
      <c r="E503" s="73">
        <f t="shared" si="143"/>
        <v>1.0647999999999999E-2</v>
      </c>
      <c r="F503" s="73">
        <f t="shared" si="143"/>
        <v>4.8399999999999999E-2</v>
      </c>
      <c r="G503" s="73">
        <f t="shared" si="143"/>
        <v>0.22</v>
      </c>
      <c r="H503" s="83">
        <f t="shared" si="125"/>
        <v>1</v>
      </c>
    </row>
    <row r="504" spans="2:8" outlineLevel="1" x14ac:dyDescent="0.25">
      <c r="B504" s="80">
        <v>52</v>
      </c>
      <c r="C504" s="73">
        <f t="shared" ref="C504:G504" si="144">IF(AND($K401&lt;&gt;"",$E$241&gt;=C$452),$K401^C$452,0)</f>
        <v>7.9626239999999997E-4</v>
      </c>
      <c r="D504" s="73">
        <f t="shared" si="144"/>
        <v>3.3177599999999999E-3</v>
      </c>
      <c r="E504" s="73">
        <f t="shared" si="144"/>
        <v>1.3823999999999999E-2</v>
      </c>
      <c r="F504" s="73">
        <f t="shared" si="144"/>
        <v>5.7599999999999998E-2</v>
      </c>
      <c r="G504" s="73">
        <f t="shared" si="144"/>
        <v>0.24</v>
      </c>
      <c r="H504" s="83">
        <f t="shared" si="125"/>
        <v>1</v>
      </c>
    </row>
    <row r="505" spans="2:8" outlineLevel="1" x14ac:dyDescent="0.25">
      <c r="B505" s="80">
        <v>53</v>
      </c>
      <c r="C505" s="73">
        <f t="shared" ref="C505:G505" si="145">IF(AND($K402&lt;&gt;"",$E$241&gt;=C$452),$K402^C$452,0)</f>
        <v>1.1881376000000003E-3</v>
      </c>
      <c r="D505" s="73">
        <f t="shared" si="145"/>
        <v>4.5697600000000008E-3</v>
      </c>
      <c r="E505" s="73">
        <f t="shared" si="145"/>
        <v>1.7576000000000001E-2</v>
      </c>
      <c r="F505" s="73">
        <f t="shared" si="145"/>
        <v>6.7600000000000007E-2</v>
      </c>
      <c r="G505" s="73">
        <f t="shared" si="145"/>
        <v>0.26</v>
      </c>
      <c r="H505" s="83">
        <f t="shared" si="125"/>
        <v>1</v>
      </c>
    </row>
    <row r="506" spans="2:8" outlineLevel="1" x14ac:dyDescent="0.25">
      <c r="B506" s="80">
        <v>54</v>
      </c>
      <c r="C506" s="73">
        <f t="shared" ref="C506:G506" si="146">IF(AND($K403&lt;&gt;"",$E$241&gt;=C$452),$K403^C$452,0)</f>
        <v>1.7210368000000005E-3</v>
      </c>
      <c r="D506" s="73">
        <f t="shared" si="146"/>
        <v>6.1465600000000014E-3</v>
      </c>
      <c r="E506" s="73">
        <f t="shared" si="146"/>
        <v>2.1952000000000006E-2</v>
      </c>
      <c r="F506" s="73">
        <f t="shared" si="146"/>
        <v>7.8400000000000011E-2</v>
      </c>
      <c r="G506" s="73">
        <f t="shared" si="146"/>
        <v>0.28000000000000003</v>
      </c>
      <c r="H506" s="83">
        <f t="shared" si="125"/>
        <v>1</v>
      </c>
    </row>
    <row r="507" spans="2:8" outlineLevel="1" x14ac:dyDescent="0.25">
      <c r="B507" s="80">
        <v>55</v>
      </c>
      <c r="C507" s="73">
        <f t="shared" ref="C507:G507" si="147">IF(AND($K404&lt;&gt;"",$E$241&gt;=C$452),$K404^C$452,0)</f>
        <v>2.4299999999999999E-3</v>
      </c>
      <c r="D507" s="73">
        <f t="shared" si="147"/>
        <v>8.0999999999999996E-3</v>
      </c>
      <c r="E507" s="73">
        <f t="shared" si="147"/>
        <v>2.7E-2</v>
      </c>
      <c r="F507" s="73">
        <f t="shared" si="147"/>
        <v>0.09</v>
      </c>
      <c r="G507" s="73">
        <f t="shared" si="147"/>
        <v>0.3</v>
      </c>
      <c r="H507" s="83">
        <f t="shared" si="125"/>
        <v>1</v>
      </c>
    </row>
    <row r="508" spans="2:8" outlineLevel="1" x14ac:dyDescent="0.25">
      <c r="B508" s="80">
        <v>56</v>
      </c>
      <c r="C508" s="73">
        <f t="shared" ref="C508:G508" si="148">IF(AND($K405&lt;&gt;"",$E$241&gt;=C$452),$K405^C$452,0)</f>
        <v>3.3554432000000001E-3</v>
      </c>
      <c r="D508" s="73">
        <f t="shared" si="148"/>
        <v>1.048576E-2</v>
      </c>
      <c r="E508" s="73">
        <f t="shared" si="148"/>
        <v>3.2768000000000005E-2</v>
      </c>
      <c r="F508" s="73">
        <f t="shared" si="148"/>
        <v>0.1024</v>
      </c>
      <c r="G508" s="73">
        <f t="shared" si="148"/>
        <v>0.32</v>
      </c>
      <c r="H508" s="83">
        <f t="shared" si="125"/>
        <v>1</v>
      </c>
    </row>
    <row r="509" spans="2:8" outlineLevel="1" x14ac:dyDescent="0.25">
      <c r="B509" s="80">
        <v>57</v>
      </c>
      <c r="C509" s="73">
        <f t="shared" ref="C509:G509" si="149">IF(AND($K406&lt;&gt;"",$E$241&gt;=C$452),$K406^C$452,0)</f>
        <v>4.5435424000000021E-3</v>
      </c>
      <c r="D509" s="73">
        <f t="shared" si="149"/>
        <v>1.3363360000000005E-2</v>
      </c>
      <c r="E509" s="73">
        <f t="shared" si="149"/>
        <v>3.9304000000000013E-2</v>
      </c>
      <c r="F509" s="73">
        <f t="shared" si="149"/>
        <v>0.11560000000000002</v>
      </c>
      <c r="G509" s="73">
        <f t="shared" si="149"/>
        <v>0.34</v>
      </c>
      <c r="H509" s="83">
        <f t="shared" si="125"/>
        <v>1</v>
      </c>
    </row>
    <row r="510" spans="2:8" outlineLevel="1" x14ac:dyDescent="0.25">
      <c r="B510" s="80">
        <v>58</v>
      </c>
      <c r="C510" s="73">
        <f t="shared" ref="C510:G510" si="150">IF(AND($K407&lt;&gt;"",$E$241&gt;=C$452),$K407^C$452,0)</f>
        <v>6.0466175999999991E-3</v>
      </c>
      <c r="D510" s="73">
        <f t="shared" si="150"/>
        <v>1.6796159999999997E-2</v>
      </c>
      <c r="E510" s="73">
        <f t="shared" si="150"/>
        <v>4.6655999999999996E-2</v>
      </c>
      <c r="F510" s="73">
        <f t="shared" si="150"/>
        <v>0.12959999999999999</v>
      </c>
      <c r="G510" s="73">
        <f t="shared" si="150"/>
        <v>0.36</v>
      </c>
      <c r="H510" s="83">
        <f t="shared" si="125"/>
        <v>1</v>
      </c>
    </row>
    <row r="511" spans="2:8" outlineLevel="1" x14ac:dyDescent="0.25">
      <c r="B511" s="80">
        <v>59</v>
      </c>
      <c r="C511" s="73">
        <f t="shared" ref="C511:G511" si="151">IF(AND($K408&lt;&gt;"",$E$241&gt;=C$452),$K408^C$452,0)</f>
        <v>7.9235168000000005E-3</v>
      </c>
      <c r="D511" s="73">
        <f t="shared" si="151"/>
        <v>2.0851359999999999E-2</v>
      </c>
      <c r="E511" s="73">
        <f t="shared" si="151"/>
        <v>5.4872000000000004E-2</v>
      </c>
      <c r="F511" s="73">
        <f t="shared" si="151"/>
        <v>0.1444</v>
      </c>
      <c r="G511" s="73">
        <f t="shared" si="151"/>
        <v>0.38</v>
      </c>
      <c r="H511" s="83">
        <f t="shared" si="125"/>
        <v>1</v>
      </c>
    </row>
    <row r="512" spans="2:8" outlineLevel="1" x14ac:dyDescent="0.25">
      <c r="B512" s="80">
        <v>60</v>
      </c>
      <c r="C512" s="73">
        <f t="shared" ref="C512:G512" si="152">IF(AND($K409&lt;&gt;"",$E$241&gt;=C$452),$K409^C$452,0)</f>
        <v>1.0240000000000006E-2</v>
      </c>
      <c r="D512" s="73">
        <f t="shared" si="152"/>
        <v>2.5600000000000012E-2</v>
      </c>
      <c r="E512" s="73">
        <f t="shared" si="152"/>
        <v>6.4000000000000015E-2</v>
      </c>
      <c r="F512" s="73">
        <f t="shared" si="152"/>
        <v>0.16000000000000003</v>
      </c>
      <c r="G512" s="73">
        <f t="shared" si="152"/>
        <v>0.4</v>
      </c>
      <c r="H512" s="83">
        <f t="shared" si="125"/>
        <v>1</v>
      </c>
    </row>
    <row r="513" spans="2:8" outlineLevel="1" x14ac:dyDescent="0.25">
      <c r="B513" s="80">
        <v>61</v>
      </c>
      <c r="C513" s="73">
        <f t="shared" ref="C513:G513" si="153">IF(AND($K410&lt;&gt;"",$E$241&gt;=C$452),$K410^C$452,0)</f>
        <v>1.3069123199999996E-2</v>
      </c>
      <c r="D513" s="73">
        <f t="shared" si="153"/>
        <v>3.1116959999999992E-2</v>
      </c>
      <c r="E513" s="73">
        <f t="shared" si="153"/>
        <v>7.4087999999999987E-2</v>
      </c>
      <c r="F513" s="73">
        <f t="shared" si="153"/>
        <v>0.17639999999999997</v>
      </c>
      <c r="G513" s="73">
        <f t="shared" si="153"/>
        <v>0.42</v>
      </c>
      <c r="H513" s="83">
        <f t="shared" si="125"/>
        <v>1</v>
      </c>
    </row>
    <row r="514" spans="2:8" outlineLevel="1" x14ac:dyDescent="0.25">
      <c r="B514" s="80">
        <v>62</v>
      </c>
      <c r="C514" s="73">
        <f t="shared" ref="C514:G514" si="154">IF(AND($K411&lt;&gt;"",$E$241&gt;=C$452),$K411^C$452,0)</f>
        <v>1.6491622399999999E-2</v>
      </c>
      <c r="D514" s="73">
        <f t="shared" si="154"/>
        <v>3.7480960000000001E-2</v>
      </c>
      <c r="E514" s="73">
        <f t="shared" si="154"/>
        <v>8.5183999999999996E-2</v>
      </c>
      <c r="F514" s="73">
        <f t="shared" si="154"/>
        <v>0.19359999999999999</v>
      </c>
      <c r="G514" s="73">
        <f t="shared" si="154"/>
        <v>0.44</v>
      </c>
      <c r="H514" s="83">
        <f t="shared" si="125"/>
        <v>1</v>
      </c>
    </row>
    <row r="515" spans="2:8" outlineLevel="1" x14ac:dyDescent="0.25">
      <c r="B515" s="80">
        <v>63</v>
      </c>
      <c r="C515" s="73">
        <f t="shared" ref="C515:G515" si="155">IF(AND($K412&lt;&gt;"",$E$241&gt;=C$452),$K412^C$452,0)</f>
        <v>2.0596297600000004E-2</v>
      </c>
      <c r="D515" s="73">
        <f t="shared" si="155"/>
        <v>4.4774560000000005E-2</v>
      </c>
      <c r="E515" s="73">
        <f t="shared" si="155"/>
        <v>9.7336000000000006E-2</v>
      </c>
      <c r="F515" s="73">
        <f t="shared" si="155"/>
        <v>0.21160000000000001</v>
      </c>
      <c r="G515" s="73">
        <f t="shared" si="155"/>
        <v>0.46</v>
      </c>
      <c r="H515" s="83">
        <f t="shared" si="125"/>
        <v>1</v>
      </c>
    </row>
    <row r="516" spans="2:8" outlineLevel="1" x14ac:dyDescent="0.25">
      <c r="B516" s="80">
        <v>64</v>
      </c>
      <c r="C516" s="73">
        <f t="shared" ref="C516:G516" si="156">IF(AND($K413&lt;&gt;"",$E$241&gt;=C$452),$K413^C$452,0)</f>
        <v>2.5480396799999999E-2</v>
      </c>
      <c r="D516" s="73">
        <f t="shared" si="156"/>
        <v>5.3084159999999998E-2</v>
      </c>
      <c r="E516" s="73">
        <f t="shared" si="156"/>
        <v>0.110592</v>
      </c>
      <c r="F516" s="73">
        <f t="shared" si="156"/>
        <v>0.23039999999999999</v>
      </c>
      <c r="G516" s="73">
        <f t="shared" si="156"/>
        <v>0.48</v>
      </c>
      <c r="H516" s="83">
        <f t="shared" si="125"/>
        <v>1</v>
      </c>
    </row>
    <row r="517" spans="2:8" outlineLevel="1" x14ac:dyDescent="0.25">
      <c r="B517" s="80">
        <v>65</v>
      </c>
      <c r="C517" s="73">
        <f t="shared" ref="C517:G517" si="157">IF(AND($K414&lt;&gt;"",$E$241&gt;=C$452),$K414^C$452,0)</f>
        <v>3.125E-2</v>
      </c>
      <c r="D517" s="73">
        <f t="shared" si="157"/>
        <v>6.25E-2</v>
      </c>
      <c r="E517" s="73">
        <f t="shared" si="157"/>
        <v>0.125</v>
      </c>
      <c r="F517" s="73">
        <f t="shared" si="157"/>
        <v>0.25</v>
      </c>
      <c r="G517" s="73">
        <f t="shared" si="157"/>
        <v>0.5</v>
      </c>
      <c r="H517" s="83">
        <f t="shared" ref="H517:H548" si="158">IF(AND($B414&lt;&gt;"",B414&lt;&gt;0,$E$241&gt;=H$452),$B414^H$452,0)</f>
        <v>1</v>
      </c>
    </row>
    <row r="518" spans="2:8" outlineLevel="1" x14ac:dyDescent="0.25">
      <c r="B518" s="80">
        <v>66</v>
      </c>
      <c r="C518" s="73">
        <f t="shared" ref="C518:G518" si="159">IF(AND($K415&lt;&gt;"",$E$241&gt;=C$452),$K415^C$452,0)</f>
        <v>3.8020403200000011E-2</v>
      </c>
      <c r="D518" s="73">
        <f t="shared" si="159"/>
        <v>7.3116160000000013E-2</v>
      </c>
      <c r="E518" s="73">
        <f t="shared" si="159"/>
        <v>0.14060800000000001</v>
      </c>
      <c r="F518" s="73">
        <f t="shared" si="159"/>
        <v>0.27040000000000003</v>
      </c>
      <c r="G518" s="73">
        <f t="shared" si="159"/>
        <v>0.52</v>
      </c>
      <c r="H518" s="83">
        <f t="shared" si="158"/>
        <v>1</v>
      </c>
    </row>
    <row r="519" spans="2:8" outlineLevel="1" x14ac:dyDescent="0.25">
      <c r="B519" s="80">
        <v>67</v>
      </c>
      <c r="C519" s="73">
        <f t="shared" ref="C519:G519" si="160">IF(AND($K416&lt;&gt;"",$E$241&gt;=C$452),$K416^C$452,0)</f>
        <v>4.591650240000001E-2</v>
      </c>
      <c r="D519" s="73">
        <f t="shared" si="160"/>
        <v>8.5030560000000019E-2</v>
      </c>
      <c r="E519" s="73">
        <f t="shared" si="160"/>
        <v>0.15746400000000002</v>
      </c>
      <c r="F519" s="73">
        <f t="shared" si="160"/>
        <v>0.29160000000000003</v>
      </c>
      <c r="G519" s="73">
        <f t="shared" si="160"/>
        <v>0.54</v>
      </c>
      <c r="H519" s="83">
        <f t="shared" si="158"/>
        <v>1</v>
      </c>
    </row>
    <row r="520" spans="2:8" outlineLevel="1" x14ac:dyDescent="0.25">
      <c r="B520" s="80">
        <v>68</v>
      </c>
      <c r="C520" s="73">
        <f t="shared" ref="C520:G520" si="161">IF(AND($K417&lt;&gt;"",$E$241&gt;=C$452),$K417^C$452,0)</f>
        <v>5.5073177600000016E-2</v>
      </c>
      <c r="D520" s="73">
        <f t="shared" si="161"/>
        <v>9.8344960000000023E-2</v>
      </c>
      <c r="E520" s="73">
        <f t="shared" si="161"/>
        <v>0.17561600000000005</v>
      </c>
      <c r="F520" s="73">
        <f t="shared" si="161"/>
        <v>0.31360000000000005</v>
      </c>
      <c r="G520" s="73">
        <f t="shared" si="161"/>
        <v>0.56000000000000005</v>
      </c>
      <c r="H520" s="83">
        <f t="shared" si="158"/>
        <v>1</v>
      </c>
    </row>
    <row r="521" spans="2:8" outlineLevel="1" x14ac:dyDescent="0.25">
      <c r="B521" s="80">
        <v>69</v>
      </c>
      <c r="C521" s="73">
        <f t="shared" ref="C521:G521" si="162">IF(AND($K418&lt;&gt;"",$E$241&gt;=C$452),$K418^C$452,0)</f>
        <v>6.5635676799999987E-2</v>
      </c>
      <c r="D521" s="73">
        <f t="shared" si="162"/>
        <v>0.11316495999999998</v>
      </c>
      <c r="E521" s="73">
        <f t="shared" si="162"/>
        <v>0.19511199999999998</v>
      </c>
      <c r="F521" s="73">
        <f t="shared" si="162"/>
        <v>0.33639999999999998</v>
      </c>
      <c r="G521" s="73">
        <f t="shared" si="162"/>
        <v>0.57999999999999996</v>
      </c>
      <c r="H521" s="83">
        <f t="shared" si="158"/>
        <v>1</v>
      </c>
    </row>
    <row r="522" spans="2:8" outlineLevel="1" x14ac:dyDescent="0.25">
      <c r="B522" s="80">
        <v>70</v>
      </c>
      <c r="C522" s="73">
        <f>IF(AND($K419&lt;&gt;"",$E$241&gt;=C$452),$K419^C$452,0)</f>
        <v>7.7759999999999996E-2</v>
      </c>
      <c r="D522" s="73">
        <f t="shared" ref="D522:G522" si="163">IF(AND($K419&lt;&gt;"",$E$241&gt;=D$452),$K419^D$452,0)</f>
        <v>0.12959999999999999</v>
      </c>
      <c r="E522" s="73">
        <f t="shared" si="163"/>
        <v>0.216</v>
      </c>
      <c r="F522" s="73">
        <f t="shared" si="163"/>
        <v>0.36</v>
      </c>
      <c r="G522" s="73">
        <f t="shared" si="163"/>
        <v>0.6</v>
      </c>
      <c r="H522" s="83">
        <f t="shared" si="158"/>
        <v>1</v>
      </c>
    </row>
    <row r="523" spans="2:8" outlineLevel="1" x14ac:dyDescent="0.25">
      <c r="B523" s="80">
        <v>71</v>
      </c>
      <c r="C523" s="73">
        <f t="shared" ref="C523:G523" si="164">IF(AND($K420&lt;&gt;"",$E$241&gt;=C$452),$K420^C$452,0)</f>
        <v>0</v>
      </c>
      <c r="D523" s="73">
        <f t="shared" si="164"/>
        <v>0</v>
      </c>
      <c r="E523" s="73">
        <f t="shared" si="164"/>
        <v>0</v>
      </c>
      <c r="F523" s="73">
        <f t="shared" si="164"/>
        <v>0</v>
      </c>
      <c r="G523" s="73">
        <f t="shared" si="164"/>
        <v>0</v>
      </c>
      <c r="H523" s="83">
        <f t="shared" si="158"/>
        <v>0</v>
      </c>
    </row>
    <row r="524" spans="2:8" outlineLevel="1" x14ac:dyDescent="0.25">
      <c r="B524" s="80">
        <v>72</v>
      </c>
      <c r="C524" s="73">
        <f t="shared" ref="C524:G524" si="165">IF(AND($K421&lt;&gt;"",$E$241&gt;=C$452),$K421^C$452,0)</f>
        <v>0</v>
      </c>
      <c r="D524" s="73">
        <f t="shared" si="165"/>
        <v>0</v>
      </c>
      <c r="E524" s="73">
        <f t="shared" si="165"/>
        <v>0</v>
      </c>
      <c r="F524" s="73">
        <f t="shared" si="165"/>
        <v>0</v>
      </c>
      <c r="G524" s="73">
        <f t="shared" si="165"/>
        <v>0</v>
      </c>
      <c r="H524" s="83">
        <f t="shared" si="158"/>
        <v>0</v>
      </c>
    </row>
    <row r="525" spans="2:8" outlineLevel="1" x14ac:dyDescent="0.25">
      <c r="B525" s="80">
        <v>73</v>
      </c>
      <c r="C525" s="73">
        <f t="shared" ref="C525:G525" si="166">IF(AND($K422&lt;&gt;"",$E$241&gt;=C$452),$K422^C$452,0)</f>
        <v>0</v>
      </c>
      <c r="D525" s="73">
        <f t="shared" si="166"/>
        <v>0</v>
      </c>
      <c r="E525" s="73">
        <f t="shared" si="166"/>
        <v>0</v>
      </c>
      <c r="F525" s="73">
        <f t="shared" si="166"/>
        <v>0</v>
      </c>
      <c r="G525" s="73">
        <f t="shared" si="166"/>
        <v>0</v>
      </c>
      <c r="H525" s="83">
        <f t="shared" si="158"/>
        <v>0</v>
      </c>
    </row>
    <row r="526" spans="2:8" outlineLevel="1" x14ac:dyDescent="0.25">
      <c r="B526" s="80">
        <v>74</v>
      </c>
      <c r="C526" s="73">
        <f t="shared" ref="C526:G526" si="167">IF(AND($K423&lt;&gt;"",$E$241&gt;=C$452),$K423^C$452,0)</f>
        <v>0</v>
      </c>
      <c r="D526" s="73">
        <f t="shared" si="167"/>
        <v>0</v>
      </c>
      <c r="E526" s="73">
        <f t="shared" si="167"/>
        <v>0</v>
      </c>
      <c r="F526" s="73">
        <f t="shared" si="167"/>
        <v>0</v>
      </c>
      <c r="G526" s="73">
        <f t="shared" si="167"/>
        <v>0</v>
      </c>
      <c r="H526" s="83">
        <f t="shared" si="158"/>
        <v>0</v>
      </c>
    </row>
    <row r="527" spans="2:8" outlineLevel="1" x14ac:dyDescent="0.25">
      <c r="B527" s="80">
        <v>75</v>
      </c>
      <c r="C527" s="73">
        <f t="shared" ref="C527:G527" si="168">IF(AND($K424&lt;&gt;"",$E$241&gt;=C$452),$K424^C$452,0)</f>
        <v>0</v>
      </c>
      <c r="D527" s="73">
        <f t="shared" si="168"/>
        <v>0</v>
      </c>
      <c r="E527" s="73">
        <f t="shared" si="168"/>
        <v>0</v>
      </c>
      <c r="F527" s="73">
        <f t="shared" si="168"/>
        <v>0</v>
      </c>
      <c r="G527" s="73">
        <f t="shared" si="168"/>
        <v>0</v>
      </c>
      <c r="H527" s="83">
        <f t="shared" si="158"/>
        <v>0</v>
      </c>
    </row>
    <row r="528" spans="2:8" outlineLevel="1" x14ac:dyDescent="0.25">
      <c r="B528" s="80">
        <v>76</v>
      </c>
      <c r="C528" s="73">
        <f t="shared" ref="C528:G528" si="169">IF(AND($K425&lt;&gt;"",$E$241&gt;=C$452),$K425^C$452,0)</f>
        <v>0</v>
      </c>
      <c r="D528" s="73">
        <f t="shared" si="169"/>
        <v>0</v>
      </c>
      <c r="E528" s="73">
        <f t="shared" si="169"/>
        <v>0</v>
      </c>
      <c r="F528" s="73">
        <f t="shared" si="169"/>
        <v>0</v>
      </c>
      <c r="G528" s="73">
        <f t="shared" si="169"/>
        <v>0</v>
      </c>
      <c r="H528" s="83">
        <f t="shared" si="158"/>
        <v>0</v>
      </c>
    </row>
    <row r="529" spans="2:8" outlineLevel="1" x14ac:dyDescent="0.25">
      <c r="B529" s="80">
        <v>77</v>
      </c>
      <c r="C529" s="73">
        <f t="shared" ref="C529:G529" si="170">IF(AND($K426&lt;&gt;"",$E$241&gt;=C$452),$K426^C$452,0)</f>
        <v>0</v>
      </c>
      <c r="D529" s="73">
        <f t="shared" si="170"/>
        <v>0</v>
      </c>
      <c r="E529" s="73">
        <f t="shared" si="170"/>
        <v>0</v>
      </c>
      <c r="F529" s="73">
        <f t="shared" si="170"/>
        <v>0</v>
      </c>
      <c r="G529" s="73">
        <f t="shared" si="170"/>
        <v>0</v>
      </c>
      <c r="H529" s="83">
        <f t="shared" si="158"/>
        <v>0</v>
      </c>
    </row>
    <row r="530" spans="2:8" outlineLevel="1" x14ac:dyDescent="0.25">
      <c r="B530" s="80">
        <v>78</v>
      </c>
      <c r="C530" s="73">
        <f t="shared" ref="C530:G530" si="171">IF(AND($K427&lt;&gt;"",$E$241&gt;=C$452),$K427^C$452,0)</f>
        <v>0</v>
      </c>
      <c r="D530" s="73">
        <f t="shared" si="171"/>
        <v>0</v>
      </c>
      <c r="E530" s="73">
        <f t="shared" si="171"/>
        <v>0</v>
      </c>
      <c r="F530" s="73">
        <f t="shared" si="171"/>
        <v>0</v>
      </c>
      <c r="G530" s="73">
        <f t="shared" si="171"/>
        <v>0</v>
      </c>
      <c r="H530" s="83">
        <f t="shared" si="158"/>
        <v>0</v>
      </c>
    </row>
    <row r="531" spans="2:8" outlineLevel="1" x14ac:dyDescent="0.25">
      <c r="B531" s="80">
        <v>79</v>
      </c>
      <c r="C531" s="73">
        <f t="shared" ref="C531:G531" si="172">IF(AND($K428&lt;&gt;"",$E$241&gt;=C$452),$K428^C$452,0)</f>
        <v>0</v>
      </c>
      <c r="D531" s="73">
        <f t="shared" si="172"/>
        <v>0</v>
      </c>
      <c r="E531" s="73">
        <f t="shared" si="172"/>
        <v>0</v>
      </c>
      <c r="F531" s="73">
        <f t="shared" si="172"/>
        <v>0</v>
      </c>
      <c r="G531" s="73">
        <f t="shared" si="172"/>
        <v>0</v>
      </c>
      <c r="H531" s="83">
        <f t="shared" si="158"/>
        <v>0</v>
      </c>
    </row>
    <row r="532" spans="2:8" outlineLevel="1" x14ac:dyDescent="0.25">
      <c r="B532" s="80">
        <v>80</v>
      </c>
      <c r="C532" s="73">
        <f t="shared" ref="C532:G532" si="173">IF(AND($K429&lt;&gt;"",$E$241&gt;=C$452),$K429^C$452,0)</f>
        <v>0</v>
      </c>
      <c r="D532" s="73">
        <f t="shared" si="173"/>
        <v>0</v>
      </c>
      <c r="E532" s="73">
        <f t="shared" si="173"/>
        <v>0</v>
      </c>
      <c r="F532" s="73">
        <f t="shared" si="173"/>
        <v>0</v>
      </c>
      <c r="G532" s="73">
        <f t="shared" si="173"/>
        <v>0</v>
      </c>
      <c r="H532" s="83">
        <f t="shared" si="158"/>
        <v>0</v>
      </c>
    </row>
    <row r="533" spans="2:8" outlineLevel="1" x14ac:dyDescent="0.25">
      <c r="B533" s="80">
        <v>81</v>
      </c>
      <c r="C533" s="73">
        <f t="shared" ref="C533:G533" si="174">IF(AND($K430&lt;&gt;"",$E$241&gt;=C$452),$K430^C$452,0)</f>
        <v>0</v>
      </c>
      <c r="D533" s="73">
        <f t="shared" si="174"/>
        <v>0</v>
      </c>
      <c r="E533" s="73">
        <f t="shared" si="174"/>
        <v>0</v>
      </c>
      <c r="F533" s="73">
        <f t="shared" si="174"/>
        <v>0</v>
      </c>
      <c r="G533" s="73">
        <f t="shared" si="174"/>
        <v>0</v>
      </c>
      <c r="H533" s="83">
        <f t="shared" si="158"/>
        <v>0</v>
      </c>
    </row>
    <row r="534" spans="2:8" outlineLevel="1" x14ac:dyDescent="0.25">
      <c r="B534" s="80">
        <v>82</v>
      </c>
      <c r="C534" s="73">
        <f t="shared" ref="C534:G534" si="175">IF(AND($K431&lt;&gt;"",$E$241&gt;=C$452),$K431^C$452,0)</f>
        <v>0</v>
      </c>
      <c r="D534" s="73">
        <f t="shared" si="175"/>
        <v>0</v>
      </c>
      <c r="E534" s="73">
        <f t="shared" si="175"/>
        <v>0</v>
      </c>
      <c r="F534" s="73">
        <f t="shared" si="175"/>
        <v>0</v>
      </c>
      <c r="G534" s="73">
        <f t="shared" si="175"/>
        <v>0</v>
      </c>
      <c r="H534" s="83">
        <f t="shared" si="158"/>
        <v>0</v>
      </c>
    </row>
    <row r="535" spans="2:8" outlineLevel="1" x14ac:dyDescent="0.25">
      <c r="B535" s="80">
        <v>83</v>
      </c>
      <c r="C535" s="73">
        <f t="shared" ref="C535:G535" si="176">IF(AND($K432&lt;&gt;"",$E$241&gt;=C$452),$K432^C$452,0)</f>
        <v>0</v>
      </c>
      <c r="D535" s="73">
        <f t="shared" si="176"/>
        <v>0</v>
      </c>
      <c r="E535" s="73">
        <f t="shared" si="176"/>
        <v>0</v>
      </c>
      <c r="F535" s="73">
        <f t="shared" si="176"/>
        <v>0</v>
      </c>
      <c r="G535" s="73">
        <f t="shared" si="176"/>
        <v>0</v>
      </c>
      <c r="H535" s="83">
        <f t="shared" si="158"/>
        <v>0</v>
      </c>
    </row>
    <row r="536" spans="2:8" outlineLevel="1" x14ac:dyDescent="0.25">
      <c r="B536" s="80">
        <v>84</v>
      </c>
      <c r="C536" s="73">
        <f t="shared" ref="C536:G536" si="177">IF(AND($K433&lt;&gt;"",$E$241&gt;=C$452),$K433^C$452,0)</f>
        <v>0</v>
      </c>
      <c r="D536" s="73">
        <f t="shared" si="177"/>
        <v>0</v>
      </c>
      <c r="E536" s="73">
        <f t="shared" si="177"/>
        <v>0</v>
      </c>
      <c r="F536" s="73">
        <f t="shared" si="177"/>
        <v>0</v>
      </c>
      <c r="G536" s="73">
        <f t="shared" si="177"/>
        <v>0</v>
      </c>
      <c r="H536" s="83">
        <f t="shared" si="158"/>
        <v>0</v>
      </c>
    </row>
    <row r="537" spans="2:8" outlineLevel="1" x14ac:dyDescent="0.25">
      <c r="B537" s="80">
        <v>85</v>
      </c>
      <c r="C537" s="73">
        <f t="shared" ref="C537:G537" si="178">IF(AND($K434&lt;&gt;"",$E$241&gt;=C$452),$K434^C$452,0)</f>
        <v>0</v>
      </c>
      <c r="D537" s="73">
        <f t="shared" si="178"/>
        <v>0</v>
      </c>
      <c r="E537" s="73">
        <f t="shared" si="178"/>
        <v>0</v>
      </c>
      <c r="F537" s="73">
        <f t="shared" si="178"/>
        <v>0</v>
      </c>
      <c r="G537" s="73">
        <f t="shared" si="178"/>
        <v>0</v>
      </c>
      <c r="H537" s="83">
        <f t="shared" si="158"/>
        <v>0</v>
      </c>
    </row>
    <row r="538" spans="2:8" outlineLevel="1" x14ac:dyDescent="0.25">
      <c r="B538" s="80">
        <v>86</v>
      </c>
      <c r="C538" s="73">
        <f t="shared" ref="C538:G538" si="179">IF(AND($K435&lt;&gt;"",$E$241&gt;=C$452),$K435^C$452,0)</f>
        <v>0</v>
      </c>
      <c r="D538" s="73">
        <f t="shared" si="179"/>
        <v>0</v>
      </c>
      <c r="E538" s="73">
        <f t="shared" si="179"/>
        <v>0</v>
      </c>
      <c r="F538" s="73">
        <f t="shared" si="179"/>
        <v>0</v>
      </c>
      <c r="G538" s="73">
        <f t="shared" si="179"/>
        <v>0</v>
      </c>
      <c r="H538" s="83">
        <f t="shared" si="158"/>
        <v>0</v>
      </c>
    </row>
    <row r="539" spans="2:8" outlineLevel="1" x14ac:dyDescent="0.25">
      <c r="B539" s="80">
        <v>87</v>
      </c>
      <c r="C539" s="73">
        <f t="shared" ref="C539:G539" si="180">IF(AND($K436&lt;&gt;"",$E$241&gt;=C$452),$K436^C$452,0)</f>
        <v>0</v>
      </c>
      <c r="D539" s="73">
        <f t="shared" si="180"/>
        <v>0</v>
      </c>
      <c r="E539" s="73">
        <f t="shared" si="180"/>
        <v>0</v>
      </c>
      <c r="F539" s="73">
        <f t="shared" si="180"/>
        <v>0</v>
      </c>
      <c r="G539" s="73">
        <f t="shared" si="180"/>
        <v>0</v>
      </c>
      <c r="H539" s="83">
        <f t="shared" si="158"/>
        <v>0</v>
      </c>
    </row>
    <row r="540" spans="2:8" outlineLevel="1" x14ac:dyDescent="0.25">
      <c r="B540" s="80">
        <v>88</v>
      </c>
      <c r="C540" s="73">
        <f t="shared" ref="C540:G540" si="181">IF(AND($K437&lt;&gt;"",$E$241&gt;=C$452),$K437^C$452,0)</f>
        <v>0</v>
      </c>
      <c r="D540" s="73">
        <f t="shared" si="181"/>
        <v>0</v>
      </c>
      <c r="E540" s="73">
        <f t="shared" si="181"/>
        <v>0</v>
      </c>
      <c r="F540" s="73">
        <f t="shared" si="181"/>
        <v>0</v>
      </c>
      <c r="G540" s="73">
        <f t="shared" si="181"/>
        <v>0</v>
      </c>
      <c r="H540" s="83">
        <f t="shared" si="158"/>
        <v>0</v>
      </c>
    </row>
    <row r="541" spans="2:8" outlineLevel="1" x14ac:dyDescent="0.25">
      <c r="B541" s="80">
        <v>89</v>
      </c>
      <c r="C541" s="73">
        <f t="shared" ref="C541:G541" si="182">IF(AND($K438&lt;&gt;"",$E$241&gt;=C$452),$K438^C$452,0)</f>
        <v>0</v>
      </c>
      <c r="D541" s="73">
        <f t="shared" si="182"/>
        <v>0</v>
      </c>
      <c r="E541" s="73">
        <f t="shared" si="182"/>
        <v>0</v>
      </c>
      <c r="F541" s="73">
        <f t="shared" si="182"/>
        <v>0</v>
      </c>
      <c r="G541" s="73">
        <f t="shared" si="182"/>
        <v>0</v>
      </c>
      <c r="H541" s="83">
        <f t="shared" si="158"/>
        <v>0</v>
      </c>
    </row>
    <row r="542" spans="2:8" outlineLevel="1" x14ac:dyDescent="0.25">
      <c r="B542" s="80">
        <v>90</v>
      </c>
      <c r="C542" s="73">
        <f t="shared" ref="C542:G542" si="183">IF(AND($K439&lt;&gt;"",$E$241&gt;=C$452),$K439^C$452,0)</f>
        <v>0</v>
      </c>
      <c r="D542" s="73">
        <f t="shared" si="183"/>
        <v>0</v>
      </c>
      <c r="E542" s="73">
        <f t="shared" si="183"/>
        <v>0</v>
      </c>
      <c r="F542" s="73">
        <f t="shared" si="183"/>
        <v>0</v>
      </c>
      <c r="G542" s="73">
        <f t="shared" si="183"/>
        <v>0</v>
      </c>
      <c r="H542" s="83">
        <f t="shared" si="158"/>
        <v>0</v>
      </c>
    </row>
    <row r="543" spans="2:8" outlineLevel="1" x14ac:dyDescent="0.25">
      <c r="B543" s="80">
        <v>91</v>
      </c>
      <c r="C543" s="73">
        <f t="shared" ref="C543:G543" si="184">IF(AND($K440&lt;&gt;"",$E$241&gt;=C$452),$K440^C$452,0)</f>
        <v>0</v>
      </c>
      <c r="D543" s="73">
        <f t="shared" si="184"/>
        <v>0</v>
      </c>
      <c r="E543" s="73">
        <f t="shared" si="184"/>
        <v>0</v>
      </c>
      <c r="F543" s="73">
        <f t="shared" si="184"/>
        <v>0</v>
      </c>
      <c r="G543" s="73">
        <f t="shared" si="184"/>
        <v>0</v>
      </c>
      <c r="H543" s="83">
        <f t="shared" si="158"/>
        <v>0</v>
      </c>
    </row>
    <row r="544" spans="2:8" outlineLevel="1" x14ac:dyDescent="0.25">
      <c r="B544" s="80">
        <v>92</v>
      </c>
      <c r="C544" s="73">
        <f t="shared" ref="C544:G544" si="185">IF(AND($K441&lt;&gt;"",$E$241&gt;=C$452),$K441^C$452,0)</f>
        <v>0</v>
      </c>
      <c r="D544" s="73">
        <f t="shared" si="185"/>
        <v>0</v>
      </c>
      <c r="E544" s="73">
        <f t="shared" si="185"/>
        <v>0</v>
      </c>
      <c r="F544" s="73">
        <f t="shared" si="185"/>
        <v>0</v>
      </c>
      <c r="G544" s="73">
        <f t="shared" si="185"/>
        <v>0</v>
      </c>
      <c r="H544" s="83">
        <f t="shared" si="158"/>
        <v>0</v>
      </c>
    </row>
    <row r="545" spans="1:8" outlineLevel="1" x14ac:dyDescent="0.25">
      <c r="B545" s="80">
        <v>93</v>
      </c>
      <c r="C545" s="73">
        <f t="shared" ref="C545:G545" si="186">IF(AND($K442&lt;&gt;"",$E$241&gt;=C$452),$K442^C$452,0)</f>
        <v>0</v>
      </c>
      <c r="D545" s="73">
        <f t="shared" si="186"/>
        <v>0</v>
      </c>
      <c r="E545" s="73">
        <f t="shared" si="186"/>
        <v>0</v>
      </c>
      <c r="F545" s="73">
        <f t="shared" si="186"/>
        <v>0</v>
      </c>
      <c r="G545" s="73">
        <f t="shared" si="186"/>
        <v>0</v>
      </c>
      <c r="H545" s="83">
        <f t="shared" si="158"/>
        <v>0</v>
      </c>
    </row>
    <row r="546" spans="1:8" outlineLevel="1" x14ac:dyDescent="0.25">
      <c r="B546" s="80">
        <v>94</v>
      </c>
      <c r="C546" s="73">
        <f t="shared" ref="C546:G546" si="187">IF(AND($K443&lt;&gt;"",$E$241&gt;=C$452),$K443^C$452,0)</f>
        <v>0</v>
      </c>
      <c r="D546" s="73">
        <f t="shared" si="187"/>
        <v>0</v>
      </c>
      <c r="E546" s="73">
        <f t="shared" si="187"/>
        <v>0</v>
      </c>
      <c r="F546" s="73">
        <f t="shared" si="187"/>
        <v>0</v>
      </c>
      <c r="G546" s="73">
        <f t="shared" si="187"/>
        <v>0</v>
      </c>
      <c r="H546" s="83">
        <f t="shared" si="158"/>
        <v>0</v>
      </c>
    </row>
    <row r="547" spans="1:8" outlineLevel="1" x14ac:dyDescent="0.25">
      <c r="B547" s="80">
        <v>95</v>
      </c>
      <c r="C547" s="73">
        <f t="shared" ref="C547:G547" si="188">IF(AND($K444&lt;&gt;"",$E$241&gt;=C$452),$K444^C$452,0)</f>
        <v>0</v>
      </c>
      <c r="D547" s="73">
        <f t="shared" si="188"/>
        <v>0</v>
      </c>
      <c r="E547" s="73">
        <f t="shared" si="188"/>
        <v>0</v>
      </c>
      <c r="F547" s="73">
        <f t="shared" si="188"/>
        <v>0</v>
      </c>
      <c r="G547" s="73">
        <f t="shared" si="188"/>
        <v>0</v>
      </c>
      <c r="H547" s="83">
        <f t="shared" si="158"/>
        <v>0</v>
      </c>
    </row>
    <row r="548" spans="1:8" outlineLevel="1" x14ac:dyDescent="0.25">
      <c r="B548" s="80">
        <v>96</v>
      </c>
      <c r="C548" s="73">
        <f t="shared" ref="C548:G548" si="189">IF(AND($K445&lt;&gt;"",$E$241&gt;=C$452),$K445^C$452,0)</f>
        <v>0</v>
      </c>
      <c r="D548" s="73">
        <f t="shared" si="189"/>
        <v>0</v>
      </c>
      <c r="E548" s="73">
        <f t="shared" si="189"/>
        <v>0</v>
      </c>
      <c r="F548" s="73">
        <f t="shared" si="189"/>
        <v>0</v>
      </c>
      <c r="G548" s="73">
        <f t="shared" si="189"/>
        <v>0</v>
      </c>
      <c r="H548" s="83">
        <f t="shared" si="158"/>
        <v>0</v>
      </c>
    </row>
    <row r="549" spans="1:8" outlineLevel="1" x14ac:dyDescent="0.25">
      <c r="B549" s="80">
        <v>97</v>
      </c>
      <c r="C549" s="73">
        <f t="shared" ref="C549:G549" si="190">IF(AND($K446&lt;&gt;"",$E$241&gt;=C$452),$K446^C$452,0)</f>
        <v>0</v>
      </c>
      <c r="D549" s="73">
        <f t="shared" si="190"/>
        <v>0</v>
      </c>
      <c r="E549" s="73">
        <f t="shared" si="190"/>
        <v>0</v>
      </c>
      <c r="F549" s="73">
        <f t="shared" si="190"/>
        <v>0</v>
      </c>
      <c r="G549" s="73">
        <f t="shared" si="190"/>
        <v>0</v>
      </c>
      <c r="H549" s="83">
        <f t="shared" ref="H549:H552" si="191">IF(AND($B446&lt;&gt;"",B446&lt;&gt;0,$E$241&gt;=H$452),$B446^H$452,0)</f>
        <v>0</v>
      </c>
    </row>
    <row r="550" spans="1:8" outlineLevel="1" x14ac:dyDescent="0.25">
      <c r="B550" s="80">
        <v>98</v>
      </c>
      <c r="C550" s="73">
        <f t="shared" ref="C550:G550" si="192">IF(AND($K447&lt;&gt;"",$E$241&gt;=C$452),$K447^C$452,0)</f>
        <v>0</v>
      </c>
      <c r="D550" s="73">
        <f t="shared" si="192"/>
        <v>0</v>
      </c>
      <c r="E550" s="73">
        <f t="shared" si="192"/>
        <v>0</v>
      </c>
      <c r="F550" s="73">
        <f t="shared" si="192"/>
        <v>0</v>
      </c>
      <c r="G550" s="73">
        <f t="shared" si="192"/>
        <v>0</v>
      </c>
      <c r="H550" s="83">
        <f t="shared" si="191"/>
        <v>0</v>
      </c>
    </row>
    <row r="551" spans="1:8" outlineLevel="1" x14ac:dyDescent="0.25">
      <c r="B551" s="80">
        <v>99</v>
      </c>
      <c r="C551" s="73">
        <f t="shared" ref="C551:G551" si="193">IF(AND($K448&lt;&gt;"",$E$241&gt;=C$452),$K448^C$452,0)</f>
        <v>0</v>
      </c>
      <c r="D551" s="73">
        <f t="shared" si="193"/>
        <v>0</v>
      </c>
      <c r="E551" s="73">
        <f t="shared" si="193"/>
        <v>0</v>
      </c>
      <c r="F551" s="73">
        <f t="shared" si="193"/>
        <v>0</v>
      </c>
      <c r="G551" s="73">
        <f t="shared" si="193"/>
        <v>0</v>
      </c>
      <c r="H551" s="83">
        <f t="shared" si="191"/>
        <v>0</v>
      </c>
    </row>
    <row r="552" spans="1:8" outlineLevel="1" x14ac:dyDescent="0.25">
      <c r="B552" s="94">
        <v>100</v>
      </c>
      <c r="C552" s="95">
        <f t="shared" ref="C552:G552" si="194">IF(AND($K449&lt;&gt;"",$E$241&gt;=C$452),$K449^C$452,0)</f>
        <v>0</v>
      </c>
      <c r="D552" s="95">
        <f t="shared" si="194"/>
        <v>0</v>
      </c>
      <c r="E552" s="95">
        <f t="shared" si="194"/>
        <v>0</v>
      </c>
      <c r="F552" s="95">
        <f t="shared" si="194"/>
        <v>0</v>
      </c>
      <c r="G552" s="95">
        <f t="shared" si="194"/>
        <v>0</v>
      </c>
      <c r="H552" s="96">
        <f t="shared" si="191"/>
        <v>0</v>
      </c>
    </row>
    <row r="553" spans="1:8" outlineLevel="1" x14ac:dyDescent="0.25">
      <c r="A553" s="73"/>
      <c r="B553" s="73"/>
      <c r="C553" s="73"/>
      <c r="D553" s="73"/>
      <c r="E553" s="73"/>
      <c r="F553" s="73"/>
      <c r="G553" s="73"/>
    </row>
    <row r="554" spans="1:8" outlineLevel="1" x14ac:dyDescent="0.25">
      <c r="A554" s="73"/>
    </row>
    <row r="555" spans="1:8" outlineLevel="1" x14ac:dyDescent="0.25">
      <c r="B555" s="65" t="s">
        <v>7</v>
      </c>
      <c r="C555" s="65" t="s">
        <v>8</v>
      </c>
      <c r="D555" s="65" t="s">
        <v>9</v>
      </c>
      <c r="E555" s="65" t="s">
        <v>10</v>
      </c>
      <c r="F555" s="65" t="s">
        <v>11</v>
      </c>
      <c r="G555" s="65" t="s">
        <v>12</v>
      </c>
    </row>
    <row r="556" spans="1:8" outlineLevel="1" x14ac:dyDescent="0.25">
      <c r="B556" s="73">
        <f t="array" ref="B556:H562">LINEST(E350:E449,C453:H552,FALSE,TRUE)</f>
        <v>22.325085738267056</v>
      </c>
      <c r="C556">
        <v>42.363144343031301</v>
      </c>
      <c r="D556">
        <v>15.984332781855716</v>
      </c>
      <c r="E556">
        <v>41.862661735625579</v>
      </c>
      <c r="F556">
        <v>182.93140935633411</v>
      </c>
      <c r="G556">
        <v>163.79764888110995</v>
      </c>
      <c r="H556">
        <v>0</v>
      </c>
    </row>
    <row r="557" spans="1:8" outlineLevel="1" x14ac:dyDescent="0.25">
      <c r="B557" s="73">
        <v>5.2256413528414425E-2</v>
      </c>
      <c r="C557">
        <v>0.26329657481881352</v>
      </c>
      <c r="D557">
        <v>0.82503607203493157</v>
      </c>
      <c r="E557">
        <v>2.0574754460433691</v>
      </c>
      <c r="F557">
        <v>2.3705305424910668</v>
      </c>
      <c r="G557">
        <v>4.1543139625351992</v>
      </c>
      <c r="H557" t="e">
        <v>#N/A</v>
      </c>
    </row>
    <row r="558" spans="1:8" outlineLevel="1" x14ac:dyDescent="0.25">
      <c r="B558" s="73">
        <v>0.99994620925353861</v>
      </c>
      <c r="C558">
        <v>0.22240770239408272</v>
      </c>
      <c r="D558" t="e">
        <v>#N/A</v>
      </c>
      <c r="E558" t="e">
        <v>#N/A</v>
      </c>
      <c r="F558" t="e">
        <v>#N/A</v>
      </c>
      <c r="G558" t="e">
        <v>#N/A</v>
      </c>
      <c r="H558" t="e">
        <v>#N/A</v>
      </c>
    </row>
    <row r="559" spans="1:8" outlineLevel="1" x14ac:dyDescent="0.25">
      <c r="B559" s="73">
        <v>291236.41100946162</v>
      </c>
      <c r="C559">
        <v>94</v>
      </c>
      <c r="D559" t="e">
        <v>#N/A</v>
      </c>
      <c r="E559" t="e">
        <v>#N/A</v>
      </c>
      <c r="F559" t="e">
        <v>#N/A</v>
      </c>
      <c r="G559" t="e">
        <v>#N/A</v>
      </c>
      <c r="H559" t="e">
        <v>#N/A</v>
      </c>
    </row>
    <row r="560" spans="1:8" outlineLevel="1" x14ac:dyDescent="0.25">
      <c r="B560" s="73">
        <v>86436.37959049143</v>
      </c>
      <c r="C560">
        <v>4.6497274919161979</v>
      </c>
      <c r="D560" t="e">
        <v>#N/A</v>
      </c>
      <c r="E560" t="e">
        <v>#N/A</v>
      </c>
      <c r="F560" t="e">
        <v>#N/A</v>
      </c>
      <c r="G560" t="e">
        <v>#N/A</v>
      </c>
      <c r="H560" t="e">
        <v>#N/A</v>
      </c>
    </row>
    <row r="561" spans="1:16" outlineLevel="1" x14ac:dyDescent="0.25">
      <c r="B561" t="e">
        <v>#N/A</v>
      </c>
      <c r="C561" t="e">
        <v>#N/A</v>
      </c>
      <c r="D561" t="e">
        <v>#N/A</v>
      </c>
      <c r="E561" t="e">
        <v>#N/A</v>
      </c>
      <c r="F561" t="e">
        <v>#N/A</v>
      </c>
      <c r="G561" t="e">
        <v>#N/A</v>
      </c>
      <c r="H561" t="e">
        <v>#N/A</v>
      </c>
    </row>
    <row r="562" spans="1:16" outlineLevel="1" x14ac:dyDescent="0.25">
      <c r="B562" t="e">
        <v>#N/A</v>
      </c>
      <c r="C562" t="e">
        <v>#N/A</v>
      </c>
      <c r="D562" t="e">
        <v>#N/A</v>
      </c>
      <c r="E562" t="e">
        <v>#N/A</v>
      </c>
      <c r="F562" t="e">
        <v>#N/A</v>
      </c>
      <c r="G562" t="e">
        <v>#N/A</v>
      </c>
      <c r="H562" t="e">
        <v>#N/A</v>
      </c>
    </row>
    <row r="563" spans="1:16" outlineLevel="1" x14ac:dyDescent="0.25"/>
    <row r="564" spans="1:16" outlineLevel="1" x14ac:dyDescent="0.25"/>
    <row r="565" spans="1:16" outlineLevel="1" x14ac:dyDescent="0.25"/>
    <row r="566" spans="1:16" outlineLevel="1" x14ac:dyDescent="0.25">
      <c r="A566" s="62" t="s">
        <v>161</v>
      </c>
      <c r="B566" s="62"/>
      <c r="C566" s="62"/>
      <c r="D566" s="62"/>
      <c r="E566" s="62"/>
      <c r="F566" s="62"/>
      <c r="G566" s="62"/>
      <c r="H566" s="62"/>
      <c r="I566" s="62"/>
      <c r="J566" s="62"/>
      <c r="K566" s="62"/>
      <c r="L566" s="62"/>
      <c r="M566" s="62"/>
      <c r="N566" s="62"/>
      <c r="O566" s="62"/>
      <c r="P566" s="62"/>
    </row>
    <row r="567" spans="1:16" outlineLevel="1" x14ac:dyDescent="0.25">
      <c r="B567" t="s">
        <v>4</v>
      </c>
      <c r="C567" s="65">
        <f>'Transform Material Calibration'!I27</f>
        <v>500</v>
      </c>
    </row>
    <row r="568" spans="1:16" outlineLevel="1" x14ac:dyDescent="0.25">
      <c r="B568" t="s">
        <v>52</v>
      </c>
      <c r="C568" s="64">
        <f>B235+C235*C567+D235*C567^2+E235*C567^3+F235*C567^4+G235*C567^5</f>
        <v>28.416687499999995</v>
      </c>
    </row>
    <row r="569" spans="1:16" outlineLevel="1" x14ac:dyDescent="0.25">
      <c r="B569" t="s">
        <v>57</v>
      </c>
      <c r="C569" s="64">
        <f>B556+C556*((C567-500)/500)+D556*((C567-500)/500)^2+E556*((C567-500)/500)^3+F556*((C567-500)/500)^4+G556*((C567-500)/500)^5</f>
        <v>22.325085738267056</v>
      </c>
    </row>
    <row r="570" spans="1:16" outlineLevel="1" x14ac:dyDescent="0.25"/>
    <row r="571" spans="1:16" outlineLevel="1" x14ac:dyDescent="0.25"/>
  </sheetData>
  <sheetProtection selectLockedCells="1"/>
  <mergeCells count="26">
    <mergeCell ref="A5:D5"/>
    <mergeCell ref="A6:P6"/>
    <mergeCell ref="B42:E42"/>
    <mergeCell ref="G42:J42"/>
    <mergeCell ref="A1:P3"/>
    <mergeCell ref="F207:G207"/>
    <mergeCell ref="A212:D212"/>
    <mergeCell ref="A213:P213"/>
    <mergeCell ref="A84:D84"/>
    <mergeCell ref="A85:P85"/>
    <mergeCell ref="B88:D88"/>
    <mergeCell ref="B108:C108"/>
    <mergeCell ref="C110:H110"/>
    <mergeCell ref="F88:G88"/>
    <mergeCell ref="B188:C188"/>
    <mergeCell ref="B216:D216"/>
    <mergeCell ref="A229:D229"/>
    <mergeCell ref="A230:P230"/>
    <mergeCell ref="B233:G233"/>
    <mergeCell ref="C238:D238"/>
    <mergeCell ref="C239:D239"/>
    <mergeCell ref="C241:D241"/>
    <mergeCell ref="B244:C244"/>
    <mergeCell ref="E244:F244"/>
    <mergeCell ref="D348:E348"/>
    <mergeCell ref="F348:I348"/>
  </mergeCells>
  <phoneticPr fontId="31" type="noConversion"/>
  <pageMargins left="0.7" right="0.7" top="0.78740157499999996" bottom="0.78740157499999996" header="0.3" footer="0.3"/>
  <ignoredErrors>
    <ignoredError sqref="B23:B38" numberStoredAsText="1"/>
  </ignoredErrors>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Content</vt:lpstr>
      <vt:lpstr>Conversion</vt:lpstr>
      <vt:lpstr>Calibration</vt:lpstr>
      <vt:lpstr>Soil Density Correction</vt:lpstr>
      <vt:lpstr>Transform Material Calibration</vt:lpstr>
      <vt:lpstr>Tools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dc:creator>
  <cp:lastModifiedBy>Jan Zepp</cp:lastModifiedBy>
  <cp:lastPrinted>2026-06-25T10:50:13Z</cp:lastPrinted>
  <dcterms:created xsi:type="dcterms:W3CDTF">2026-01-24T11:23:46Z</dcterms:created>
  <dcterms:modified xsi:type="dcterms:W3CDTF">2026-07-28T13:48:45Z</dcterms:modified>
</cp:coreProperties>
</file>